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orres\AppData\Local\Microsoft\Windows\Temporary Internet Files\Content.Outlook\1WMT9OQS\"/>
    </mc:Choice>
  </mc:AlternateContent>
  <bookViews>
    <workbookView xWindow="0" yWindow="0" windowWidth="19200" windowHeight="11595" firstSheet="5" activeTab="7"/>
  </bookViews>
  <sheets>
    <sheet name="Estado" sheetId="2" r:id="rId1"/>
    <sheet name="Resumen Estado" sheetId="1" r:id="rId2"/>
    <sheet name="SIGAF" sheetId="7" r:id="rId3"/>
    <sheet name="Hoja4" sheetId="4" state="hidden" r:id="rId4"/>
    <sheet name="Resumen por Partida" sheetId="5" r:id="rId5"/>
    <sheet name="COMPORT. RESUMEN" sheetId="8" r:id="rId6"/>
    <sheet name="MENSUAL" sheetId="9" r:id="rId7"/>
    <sheet name="ANALISIS POR PROG" sheetId="10" r:id="rId8"/>
    <sheet name="Ejecucion por Programa" sheetId="11" state="hidden" r:id="rId9"/>
    <sheet name="RESUMEN" sheetId="12" r:id="rId10"/>
    <sheet name="COMPARATIVO" sheetId="13" r:id="rId11"/>
    <sheet name="proyeccion" sheetId="6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2" hidden="1">SIGAF!$A$1:$P$459</definedName>
    <definedName name="_xlnm.Print_Area" localSheetId="7">'ANALISIS POR PROG'!$A$1:$P$34</definedName>
    <definedName name="_xlnm.Print_Area" localSheetId="0">Estado!$A$1:$R$204</definedName>
    <definedName name="_xlnm.Print_Area" localSheetId="9">RESUMEN!$B$1:$E$23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0" l="1"/>
  <c r="L10" i="10"/>
  <c r="J10" i="10"/>
  <c r="G10" i="10"/>
  <c r="E10" i="10"/>
  <c r="C10" i="10"/>
  <c r="N9" i="10"/>
  <c r="L9" i="10"/>
  <c r="J9" i="10"/>
  <c r="G9" i="10"/>
  <c r="E9" i="10"/>
  <c r="C9" i="10"/>
  <c r="N8" i="10"/>
  <c r="L8" i="10"/>
  <c r="J8" i="10"/>
  <c r="G8" i="10"/>
  <c r="E8" i="10"/>
  <c r="C8" i="10"/>
  <c r="N7" i="10"/>
  <c r="L7" i="10"/>
  <c r="J7" i="10"/>
  <c r="G7" i="10"/>
  <c r="E7" i="10"/>
  <c r="C7" i="10"/>
  <c r="N6" i="10"/>
  <c r="L6" i="10"/>
  <c r="J6" i="10"/>
  <c r="G6" i="10"/>
  <c r="E6" i="10"/>
  <c r="C6" i="10"/>
  <c r="D23" i="12" l="1"/>
  <c r="C23" i="12"/>
  <c r="B23" i="12"/>
  <c r="B48" i="13" l="1"/>
  <c r="B47" i="13"/>
  <c r="B46" i="13"/>
  <c r="B45" i="13"/>
  <c r="B44" i="13"/>
  <c r="B49" i="13" l="1"/>
  <c r="B7" i="12"/>
  <c r="B5" i="12"/>
  <c r="C7" i="12"/>
  <c r="D7" i="12"/>
  <c r="B9" i="12"/>
  <c r="B11" i="12"/>
  <c r="C11" i="12"/>
  <c r="D11" i="12"/>
  <c r="B13" i="12"/>
  <c r="B15" i="12"/>
  <c r="C15" i="12"/>
  <c r="D15" i="12"/>
  <c r="B17" i="12"/>
  <c r="B19" i="12"/>
  <c r="C19" i="12"/>
  <c r="D19" i="12"/>
  <c r="B21" i="12"/>
  <c r="E19" i="12" l="1"/>
  <c r="E23" i="12"/>
  <c r="E11" i="12"/>
  <c r="E15" i="12"/>
  <c r="B3" i="12"/>
  <c r="B25" i="12" s="1"/>
  <c r="D3" i="12"/>
  <c r="E7" i="12"/>
  <c r="C3" i="12"/>
  <c r="E3" i="12" l="1"/>
  <c r="C25" i="12"/>
  <c r="E11" i="10" l="1"/>
  <c r="B7" i="13" l="1"/>
  <c r="H6" i="10" l="1"/>
  <c r="K6" i="10"/>
  <c r="O7" i="10"/>
  <c r="F7" i="10"/>
  <c r="H7" i="10"/>
  <c r="K7" i="10"/>
  <c r="L11" i="10"/>
  <c r="M7" i="10"/>
  <c r="C45" i="13" s="1"/>
  <c r="N11" i="10"/>
  <c r="F8" i="10"/>
  <c r="I8" i="10"/>
  <c r="H8" i="10"/>
  <c r="K8" i="10"/>
  <c r="M8" i="10"/>
  <c r="C46" i="13" s="1"/>
  <c r="O8" i="10"/>
  <c r="F9" i="10"/>
  <c r="K9" i="10"/>
  <c r="H10" i="10"/>
  <c r="F10" i="10"/>
  <c r="I10" i="10"/>
  <c r="K10" i="10"/>
  <c r="M10" i="10"/>
  <c r="C48" i="13" s="1"/>
  <c r="O10" i="10"/>
  <c r="J11" i="10"/>
  <c r="M11" i="10" l="1"/>
  <c r="O6" i="10"/>
  <c r="F6" i="10"/>
  <c r="M6" i="10"/>
  <c r="C44" i="13" s="1"/>
  <c r="C11" i="10"/>
  <c r="I6" i="10"/>
  <c r="I9" i="10"/>
  <c r="G11" i="10"/>
  <c r="H9" i="10"/>
  <c r="O9" i="10"/>
  <c r="I7" i="10"/>
  <c r="M9" i="10"/>
  <c r="C47" i="13" s="1"/>
  <c r="C49" i="13" l="1"/>
  <c r="D8" i="10"/>
  <c r="D9" i="10"/>
  <c r="O11" i="10"/>
  <c r="D6" i="10"/>
  <c r="D7" i="10"/>
  <c r="D10" i="10"/>
  <c r="I11" i="10"/>
  <c r="H11" i="10"/>
  <c r="K11" i="10"/>
  <c r="F11" i="10"/>
  <c r="B6" i="13" l="1"/>
  <c r="B5" i="13"/>
  <c r="B4" i="13"/>
  <c r="B3" i="13"/>
  <c r="H2" i="13" l="1"/>
  <c r="G2" i="13"/>
  <c r="B148" i="5"/>
  <c r="B149" i="5"/>
  <c r="B150" i="5"/>
  <c r="A148" i="5"/>
  <c r="A149" i="5"/>
  <c r="A150" i="5"/>
  <c r="A13" i="1"/>
  <c r="Q199" i="2"/>
  <c r="O199" i="2"/>
  <c r="O198" i="2" s="1"/>
  <c r="M199" i="2"/>
  <c r="M198" i="2" s="1"/>
  <c r="M197" i="2" s="1"/>
  <c r="M10" i="8" s="1"/>
  <c r="K199" i="2"/>
  <c r="I199" i="2"/>
  <c r="H146" i="4" s="1"/>
  <c r="H145" i="4" s="1"/>
  <c r="H144" i="4" s="1"/>
  <c r="G199" i="2"/>
  <c r="G146" i="4" s="1"/>
  <c r="E199" i="2"/>
  <c r="F146" i="4" s="1"/>
  <c r="E150" i="5" s="1"/>
  <c r="E149" i="5" s="1"/>
  <c r="E148" i="5" s="1"/>
  <c r="D199" i="2"/>
  <c r="E146" i="4" s="1"/>
  <c r="D150" i="5" s="1"/>
  <c r="D149" i="5" s="1"/>
  <c r="D148" i="5" s="1"/>
  <c r="C199" i="2"/>
  <c r="C198" i="2" s="1"/>
  <c r="C197" i="2" s="1"/>
  <c r="C13" i="1" s="1"/>
  <c r="D196" i="2"/>
  <c r="D195" i="2"/>
  <c r="D193" i="2"/>
  <c r="D191" i="2"/>
  <c r="D190" i="2"/>
  <c r="D189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7" i="2"/>
  <c r="D166" i="2"/>
  <c r="D165" i="2"/>
  <c r="D164" i="2"/>
  <c r="D162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7" i="2"/>
  <c r="D56" i="2"/>
  <c r="D55" i="2"/>
  <c r="D54" i="2"/>
  <c r="D53" i="2"/>
  <c r="D51" i="2"/>
  <c r="D50" i="2"/>
  <c r="D49" i="2"/>
  <c r="D48" i="2"/>
  <c r="D47" i="2"/>
  <c r="D45" i="2"/>
  <c r="D44" i="2"/>
  <c r="D43" i="2"/>
  <c r="D42" i="2"/>
  <c r="D41" i="2"/>
  <c r="D39" i="2"/>
  <c r="D38" i="2"/>
  <c r="D37" i="2"/>
  <c r="D36" i="2"/>
  <c r="D35" i="2"/>
  <c r="D34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O196" i="2"/>
  <c r="O195" i="2"/>
  <c r="O193" i="2"/>
  <c r="O191" i="2"/>
  <c r="O190" i="2"/>
  <c r="O189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7" i="2"/>
  <c r="O166" i="2"/>
  <c r="O165" i="2"/>
  <c r="O164" i="2"/>
  <c r="O162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7" i="2"/>
  <c r="O56" i="2"/>
  <c r="O55" i="2"/>
  <c r="O54" i="2"/>
  <c r="O53" i="2"/>
  <c r="O51" i="2"/>
  <c r="O50" i="2"/>
  <c r="O49" i="2"/>
  <c r="O48" i="2"/>
  <c r="O47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Q196" i="2"/>
  <c r="Q195" i="2"/>
  <c r="Q193" i="2"/>
  <c r="Q191" i="2"/>
  <c r="Q190" i="2"/>
  <c r="Q189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7" i="2"/>
  <c r="Q166" i="2"/>
  <c r="Q165" i="2"/>
  <c r="Q164" i="2"/>
  <c r="Q162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7" i="2"/>
  <c r="Q56" i="2"/>
  <c r="Q55" i="2"/>
  <c r="Q54" i="2"/>
  <c r="Q53" i="2"/>
  <c r="Q51" i="2"/>
  <c r="Q50" i="2"/>
  <c r="Q49" i="2"/>
  <c r="Q48" i="2"/>
  <c r="Q47" i="2"/>
  <c r="Q45" i="2"/>
  <c r="Q44" i="2"/>
  <c r="Q43" i="2"/>
  <c r="Q42" i="2"/>
  <c r="Q41" i="2"/>
  <c r="Q39" i="2"/>
  <c r="Q38" i="2"/>
  <c r="Q37" i="2"/>
  <c r="Q36" i="2"/>
  <c r="Q35" i="2"/>
  <c r="Q34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O10" i="2"/>
  <c r="N12" i="10" s="1"/>
  <c r="M196" i="2"/>
  <c r="M195" i="2"/>
  <c r="M193" i="2"/>
  <c r="M191" i="2"/>
  <c r="M190" i="2"/>
  <c r="M189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7" i="2"/>
  <c r="M166" i="2"/>
  <c r="M165" i="2"/>
  <c r="M164" i="2"/>
  <c r="M162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7" i="2"/>
  <c r="M56" i="2"/>
  <c r="M55" i="2"/>
  <c r="M54" i="2"/>
  <c r="M53" i="2"/>
  <c r="M51" i="2"/>
  <c r="M50" i="2"/>
  <c r="M49" i="2"/>
  <c r="M48" i="2"/>
  <c r="M47" i="2"/>
  <c r="M45" i="2"/>
  <c r="M44" i="2"/>
  <c r="M43" i="2"/>
  <c r="M42" i="2"/>
  <c r="M41" i="2"/>
  <c r="M39" i="2"/>
  <c r="M38" i="2"/>
  <c r="M37" i="2"/>
  <c r="M36" i="2"/>
  <c r="M35" i="2"/>
  <c r="M34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K196" i="2"/>
  <c r="K195" i="2"/>
  <c r="K193" i="2"/>
  <c r="K191" i="2"/>
  <c r="K190" i="2"/>
  <c r="K189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7" i="2"/>
  <c r="K166" i="2"/>
  <c r="K165" i="2"/>
  <c r="K164" i="2"/>
  <c r="K162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7" i="2"/>
  <c r="K56" i="2"/>
  <c r="K55" i="2"/>
  <c r="K54" i="2"/>
  <c r="K53" i="2"/>
  <c r="K51" i="2"/>
  <c r="K50" i="2"/>
  <c r="K49" i="2"/>
  <c r="K48" i="2"/>
  <c r="K47" i="2"/>
  <c r="K45" i="2"/>
  <c r="K44" i="2"/>
  <c r="K43" i="2"/>
  <c r="K42" i="2"/>
  <c r="K41" i="2"/>
  <c r="K39" i="2"/>
  <c r="K38" i="2"/>
  <c r="K37" i="2"/>
  <c r="K36" i="2"/>
  <c r="K35" i="2"/>
  <c r="K34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12" i="10" s="1"/>
  <c r="I196" i="2"/>
  <c r="I195" i="2"/>
  <c r="I193" i="2"/>
  <c r="I191" i="2"/>
  <c r="I190" i="2"/>
  <c r="I189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7" i="2"/>
  <c r="I166" i="2"/>
  <c r="I165" i="2"/>
  <c r="I164" i="2"/>
  <c r="I162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1" i="2"/>
  <c r="I50" i="2"/>
  <c r="I49" i="2"/>
  <c r="I48" i="2"/>
  <c r="I47" i="2"/>
  <c r="I45" i="2"/>
  <c r="I44" i="2"/>
  <c r="I43" i="2"/>
  <c r="I42" i="2"/>
  <c r="I41" i="2"/>
  <c r="I39" i="2"/>
  <c r="I38" i="2"/>
  <c r="I37" i="2"/>
  <c r="I36" i="2"/>
  <c r="I35" i="2"/>
  <c r="I34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G196" i="2"/>
  <c r="G195" i="2"/>
  <c r="G193" i="2"/>
  <c r="G191" i="2"/>
  <c r="G190" i="2"/>
  <c r="G189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7" i="2"/>
  <c r="G166" i="2"/>
  <c r="G165" i="2"/>
  <c r="G164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1" i="2"/>
  <c r="G50" i="2"/>
  <c r="G49" i="2"/>
  <c r="G48" i="2"/>
  <c r="G47" i="2"/>
  <c r="G45" i="2"/>
  <c r="G44" i="2"/>
  <c r="G43" i="2"/>
  <c r="G42" i="2"/>
  <c r="G41" i="2"/>
  <c r="G39" i="2"/>
  <c r="G38" i="2"/>
  <c r="G37" i="2"/>
  <c r="G36" i="2"/>
  <c r="G35" i="2"/>
  <c r="G34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12" i="10" s="1"/>
  <c r="E196" i="2"/>
  <c r="E195" i="2"/>
  <c r="E193" i="2"/>
  <c r="E191" i="2"/>
  <c r="E190" i="2"/>
  <c r="E189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7" i="2"/>
  <c r="E166" i="2"/>
  <c r="E165" i="2"/>
  <c r="E164" i="2"/>
  <c r="E162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1" i="2"/>
  <c r="E50" i="2"/>
  <c r="E49" i="2"/>
  <c r="E48" i="2"/>
  <c r="E47" i="2"/>
  <c r="E45" i="2"/>
  <c r="E44" i="2"/>
  <c r="E43" i="2"/>
  <c r="E42" i="2"/>
  <c r="E41" i="2"/>
  <c r="E39" i="2"/>
  <c r="E38" i="2"/>
  <c r="E37" i="2"/>
  <c r="E36" i="2"/>
  <c r="E35" i="2"/>
  <c r="E34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12" i="10" s="1"/>
  <c r="C196" i="2"/>
  <c r="C195" i="2"/>
  <c r="C193" i="2"/>
  <c r="C192" i="2" s="1"/>
  <c r="C191" i="2"/>
  <c r="C190" i="2"/>
  <c r="C189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7" i="2"/>
  <c r="C166" i="2"/>
  <c r="C165" i="2"/>
  <c r="C164" i="2"/>
  <c r="C162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7" i="2"/>
  <c r="C56" i="2"/>
  <c r="C55" i="2"/>
  <c r="C54" i="2"/>
  <c r="C53" i="2"/>
  <c r="C51" i="2"/>
  <c r="C50" i="2"/>
  <c r="C49" i="2"/>
  <c r="C48" i="2"/>
  <c r="C47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12" i="10" s="1"/>
  <c r="C24" i="1" l="1"/>
  <c r="L199" i="2"/>
  <c r="C194" i="2"/>
  <c r="K146" i="4"/>
  <c r="K145" i="4" s="1"/>
  <c r="K144" i="4" s="1"/>
  <c r="D198" i="2"/>
  <c r="D197" i="2" s="1"/>
  <c r="D10" i="8" s="1"/>
  <c r="I146" i="4"/>
  <c r="I145" i="4" s="1"/>
  <c r="I144" i="4" s="1"/>
  <c r="H199" i="2"/>
  <c r="D146" i="4"/>
  <c r="D145" i="4" s="1"/>
  <c r="D144" i="4" s="1"/>
  <c r="C10" i="8"/>
  <c r="N10" i="8" s="1"/>
  <c r="E145" i="4"/>
  <c r="E144" i="4" s="1"/>
  <c r="F145" i="4"/>
  <c r="F144" i="4" s="1"/>
  <c r="G145" i="4"/>
  <c r="P198" i="2"/>
  <c r="O197" i="2"/>
  <c r="O10" i="8" s="1"/>
  <c r="J199" i="2"/>
  <c r="N198" i="2"/>
  <c r="N199" i="2"/>
  <c r="P199" i="2"/>
  <c r="R199" i="2"/>
  <c r="Q198" i="2"/>
  <c r="K198" i="2"/>
  <c r="D13" i="1"/>
  <c r="F199" i="2"/>
  <c r="E198" i="2"/>
  <c r="G198" i="2"/>
  <c r="I198" i="2"/>
  <c r="N197" i="2"/>
  <c r="P10" i="8" l="1"/>
  <c r="L13" i="1"/>
  <c r="N13" i="1" s="1"/>
  <c r="G150" i="5"/>
  <c r="G149" i="5" s="1"/>
  <c r="G148" i="5" s="1"/>
  <c r="J146" i="4"/>
  <c r="J145" i="4" s="1"/>
  <c r="J144" i="4" s="1"/>
  <c r="L146" i="4"/>
  <c r="H150" i="5" s="1"/>
  <c r="P197" i="2"/>
  <c r="M145" i="4"/>
  <c r="I149" i="5" s="1"/>
  <c r="C150" i="5"/>
  <c r="C149" i="5" s="1"/>
  <c r="C148" i="5" s="1"/>
  <c r="M144" i="4"/>
  <c r="I148" i="5" s="1"/>
  <c r="M146" i="4"/>
  <c r="I150" i="5" s="1"/>
  <c r="G144" i="4"/>
  <c r="L144" i="4" s="1"/>
  <c r="H148" i="5" s="1"/>
  <c r="L145" i="4"/>
  <c r="H149" i="5" s="1"/>
  <c r="I197" i="2"/>
  <c r="I10" i="8" s="1"/>
  <c r="J198" i="2"/>
  <c r="D24" i="1"/>
  <c r="K197" i="2"/>
  <c r="K10" i="8" s="1"/>
  <c r="L10" i="8" s="1"/>
  <c r="L198" i="2"/>
  <c r="R198" i="2"/>
  <c r="Q197" i="2"/>
  <c r="Q10" i="8" s="1"/>
  <c r="R10" i="8" s="1"/>
  <c r="H198" i="2"/>
  <c r="G197" i="2"/>
  <c r="E197" i="2"/>
  <c r="F198" i="2"/>
  <c r="L24" i="1" l="1"/>
  <c r="N24" i="1" s="1"/>
  <c r="F150" i="5"/>
  <c r="F149" i="5" s="1"/>
  <c r="F148" i="5" s="1"/>
  <c r="E13" i="1"/>
  <c r="E24" i="1" s="1"/>
  <c r="E10" i="8"/>
  <c r="F10" i="8" s="1"/>
  <c r="F13" i="1"/>
  <c r="G10" i="8"/>
  <c r="H10" i="8" s="1"/>
  <c r="R197" i="2"/>
  <c r="L197" i="2"/>
  <c r="H13" i="1"/>
  <c r="G13" i="1"/>
  <c r="J197" i="2"/>
  <c r="F197" i="2"/>
  <c r="H197" i="2"/>
  <c r="B2" i="10"/>
  <c r="B2" i="1"/>
  <c r="A2" i="5"/>
  <c r="F24" i="1" l="1"/>
  <c r="M13" i="1"/>
  <c r="G24" i="1"/>
  <c r="H24" i="1"/>
  <c r="I24" i="1" s="1"/>
  <c r="I13" i="1"/>
  <c r="J13" i="1"/>
  <c r="B63" i="4"/>
  <c r="C63" i="4" s="1"/>
  <c r="B67" i="5" s="1"/>
  <c r="R97" i="2"/>
  <c r="M24" i="1" l="1"/>
  <c r="G63" i="4"/>
  <c r="J24" i="1"/>
  <c r="K24" i="1" s="1"/>
  <c r="K13" i="1"/>
  <c r="E63" i="4"/>
  <c r="D63" i="4"/>
  <c r="A67" i="5"/>
  <c r="F97" i="2"/>
  <c r="P97" i="2"/>
  <c r="N97" i="2"/>
  <c r="L97" i="2"/>
  <c r="J97" i="2"/>
  <c r="F63" i="4"/>
  <c r="I63" i="4"/>
  <c r="H97" i="2"/>
  <c r="H63" i="4"/>
  <c r="K63" i="4"/>
  <c r="J63" i="4" l="1"/>
  <c r="L63" i="4"/>
  <c r="H67" i="5" s="1"/>
  <c r="M63" i="4"/>
  <c r="I67" i="5" s="1"/>
  <c r="R190" i="2" l="1"/>
  <c r="L190" i="2"/>
  <c r="N190" i="2"/>
  <c r="F190" i="2"/>
  <c r="J190" i="2"/>
  <c r="P190" i="2"/>
  <c r="H190" i="2"/>
  <c r="AS7" i="11"/>
  <c r="AS8" i="11"/>
  <c r="AS9" i="11"/>
  <c r="AS10" i="11"/>
  <c r="AS6" i="11"/>
  <c r="X12" i="11" l="1"/>
  <c r="V12" i="11" l="1"/>
  <c r="T12" i="11"/>
  <c r="R12" i="11"/>
  <c r="AR7" i="11"/>
  <c r="AR8" i="11"/>
  <c r="AR9" i="11"/>
  <c r="AR10" i="11"/>
  <c r="AR6" i="11"/>
  <c r="I192" i="2" l="1"/>
  <c r="I58" i="2"/>
  <c r="S117" i="2" l="1"/>
  <c r="I46" i="2"/>
  <c r="I27" i="2"/>
  <c r="I188" i="2"/>
  <c r="J12" i="2"/>
  <c r="I52" i="2"/>
  <c r="I40" i="2"/>
  <c r="I194" i="2"/>
  <c r="I168" i="2"/>
  <c r="I163" i="2"/>
  <c r="I33" i="2"/>
  <c r="I161" i="2"/>
  <c r="AQ7" i="11"/>
  <c r="AQ8" i="11"/>
  <c r="AQ9" i="11"/>
  <c r="AQ10" i="11"/>
  <c r="AQ6" i="11"/>
  <c r="I200" i="2" l="1"/>
  <c r="I201" i="2" s="1"/>
  <c r="AP7" i="11"/>
  <c r="AP8" i="11"/>
  <c r="AP9" i="11"/>
  <c r="AP10" i="11"/>
  <c r="AP6" i="11"/>
  <c r="AO7" i="11" l="1"/>
  <c r="AO8" i="11"/>
  <c r="AO9" i="11"/>
  <c r="AO10" i="11"/>
  <c r="AO6" i="11"/>
  <c r="AN7" i="11" l="1"/>
  <c r="AN8" i="11"/>
  <c r="AN9" i="11"/>
  <c r="AN10" i="11"/>
  <c r="AN6" i="11"/>
  <c r="L12" i="11" l="1"/>
  <c r="AM7" i="11" l="1"/>
  <c r="AM8" i="11"/>
  <c r="AM9" i="11"/>
  <c r="AM10" i="11"/>
  <c r="AM6" i="11"/>
  <c r="J196" i="2" l="1"/>
  <c r="J195" i="2"/>
  <c r="J191" i="2"/>
  <c r="J189" i="2"/>
  <c r="J178" i="2"/>
  <c r="J177" i="2"/>
  <c r="J176" i="2"/>
  <c r="J175" i="2"/>
  <c r="J174" i="2"/>
  <c r="J173" i="2"/>
  <c r="J172" i="2"/>
  <c r="J171" i="2"/>
  <c r="J170" i="2"/>
  <c r="J169" i="2"/>
  <c r="J167" i="2"/>
  <c r="J166" i="2"/>
  <c r="J165" i="2"/>
  <c r="J164" i="2"/>
  <c r="J146" i="2"/>
  <c r="J116" i="2"/>
  <c r="J62" i="2"/>
  <c r="J59" i="2"/>
  <c r="J57" i="2"/>
  <c r="J56" i="2"/>
  <c r="J55" i="2"/>
  <c r="J54" i="2"/>
  <c r="J53" i="2"/>
  <c r="J51" i="2"/>
  <c r="J50" i="2"/>
  <c r="J49" i="2"/>
  <c r="J48" i="2"/>
  <c r="J47" i="2"/>
  <c r="J45" i="2"/>
  <c r="J44" i="2"/>
  <c r="J43" i="2"/>
  <c r="J42" i="2"/>
  <c r="J41" i="2"/>
  <c r="J38" i="2"/>
  <c r="J37" i="2"/>
  <c r="J36" i="2"/>
  <c r="J35" i="2"/>
  <c r="J34" i="2"/>
  <c r="J32" i="2"/>
  <c r="J31" i="2"/>
  <c r="J30" i="2"/>
  <c r="J29" i="2"/>
  <c r="J28" i="2"/>
  <c r="J10" i="2"/>
  <c r="J11" i="2" l="1"/>
  <c r="J71" i="2"/>
  <c r="J104" i="2"/>
  <c r="J136" i="2"/>
  <c r="J72" i="2"/>
  <c r="J105" i="2"/>
  <c r="J145" i="2"/>
  <c r="J73" i="2"/>
  <c r="J106" i="2"/>
  <c r="J138" i="2"/>
  <c r="J74" i="2"/>
  <c r="J107" i="2"/>
  <c r="J139" i="2"/>
  <c r="J13" i="2"/>
  <c r="J21" i="2"/>
  <c r="J39" i="2"/>
  <c r="J67" i="2"/>
  <c r="J75" i="2"/>
  <c r="J83" i="2"/>
  <c r="J91" i="2"/>
  <c r="J100" i="2"/>
  <c r="J108" i="2"/>
  <c r="J124" i="2"/>
  <c r="J132" i="2"/>
  <c r="J140" i="2"/>
  <c r="J148" i="2"/>
  <c r="J156" i="2"/>
  <c r="J183" i="2"/>
  <c r="J17" i="2"/>
  <c r="J87" i="2"/>
  <c r="J120" i="2"/>
  <c r="J152" i="2"/>
  <c r="J187" i="2"/>
  <c r="J18" i="2"/>
  <c r="J88" i="2"/>
  <c r="J121" i="2"/>
  <c r="J153" i="2"/>
  <c r="J81" i="2"/>
  <c r="J114" i="2"/>
  <c r="J181" i="2"/>
  <c r="J66" i="2"/>
  <c r="J99" i="2"/>
  <c r="J131" i="2"/>
  <c r="J14" i="2"/>
  <c r="J22" i="2"/>
  <c r="J60" i="2"/>
  <c r="J68" i="2"/>
  <c r="J76" i="2"/>
  <c r="J84" i="2"/>
  <c r="J92" i="2"/>
  <c r="J101" i="2"/>
  <c r="J109" i="2"/>
  <c r="J117" i="2"/>
  <c r="J125" i="2"/>
  <c r="J133" i="2"/>
  <c r="J141" i="2"/>
  <c r="J149" i="2"/>
  <c r="J157" i="2"/>
  <c r="J184" i="2"/>
  <c r="J79" i="2"/>
  <c r="J112" i="2"/>
  <c r="J144" i="2"/>
  <c r="J179" i="2"/>
  <c r="J80" i="2"/>
  <c r="J113" i="2"/>
  <c r="J137" i="2"/>
  <c r="J180" i="2"/>
  <c r="J65" i="2"/>
  <c r="J98" i="2"/>
  <c r="J130" i="2"/>
  <c r="J20" i="2"/>
  <c r="J90" i="2"/>
  <c r="J123" i="2"/>
  <c r="J155" i="2"/>
  <c r="J193" i="2"/>
  <c r="J15" i="2"/>
  <c r="J23" i="2"/>
  <c r="J61" i="2"/>
  <c r="J69" i="2"/>
  <c r="J77" i="2"/>
  <c r="J85" i="2"/>
  <c r="J93" i="2"/>
  <c r="J102" i="2"/>
  <c r="J110" i="2"/>
  <c r="J118" i="2"/>
  <c r="J126" i="2"/>
  <c r="J134" i="2"/>
  <c r="J142" i="2"/>
  <c r="J150" i="2"/>
  <c r="J158" i="2"/>
  <c r="J185" i="2"/>
  <c r="J25" i="2"/>
  <c r="J63" i="2"/>
  <c r="J95" i="2"/>
  <c r="J128" i="2"/>
  <c r="J160" i="2"/>
  <c r="J26" i="2"/>
  <c r="J64" i="2"/>
  <c r="J96" i="2"/>
  <c r="J129" i="2"/>
  <c r="J162" i="2"/>
  <c r="J19" i="2"/>
  <c r="J89" i="2"/>
  <c r="J122" i="2"/>
  <c r="J154" i="2"/>
  <c r="J82" i="2"/>
  <c r="J115" i="2"/>
  <c r="J147" i="2"/>
  <c r="J182" i="2"/>
  <c r="J16" i="2"/>
  <c r="J24" i="2"/>
  <c r="J70" i="2"/>
  <c r="J78" i="2"/>
  <c r="J86" i="2"/>
  <c r="J94" i="2"/>
  <c r="J103" i="2"/>
  <c r="J111" i="2"/>
  <c r="J119" i="2"/>
  <c r="J127" i="2"/>
  <c r="J135" i="2"/>
  <c r="J143" i="2"/>
  <c r="J151" i="2"/>
  <c r="J159" i="2"/>
  <c r="J186" i="2"/>
  <c r="B5" i="4"/>
  <c r="G5" i="4" s="1"/>
  <c r="D5" i="4" l="1"/>
  <c r="A9" i="5"/>
  <c r="B142" i="4"/>
  <c r="B143" i="4"/>
  <c r="B141" i="4"/>
  <c r="B138" i="4"/>
  <c r="B139" i="4"/>
  <c r="B140" i="4"/>
  <c r="B132" i="4"/>
  <c r="B133" i="4"/>
  <c r="B134" i="4"/>
  <c r="D134" i="4" s="1"/>
  <c r="B135" i="4"/>
  <c r="D135" i="4" s="1"/>
  <c r="B136" i="4"/>
  <c r="D136" i="4" s="1"/>
  <c r="B137" i="4"/>
  <c r="D137" i="4" s="1"/>
  <c r="B131" i="4"/>
  <c r="B130" i="4"/>
  <c r="A134" i="5" s="1"/>
  <c r="B126" i="4"/>
  <c r="B127" i="4"/>
  <c r="B128" i="4"/>
  <c r="B129" i="4"/>
  <c r="A133" i="5" s="1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90" i="4"/>
  <c r="D90" i="4" s="1"/>
  <c r="B91" i="4"/>
  <c r="D91" i="4" s="1"/>
  <c r="B92" i="4"/>
  <c r="D92" i="4" s="1"/>
  <c r="B93" i="4"/>
  <c r="D93" i="4" s="1"/>
  <c r="B94" i="4"/>
  <c r="D94" i="4" s="1"/>
  <c r="B95" i="4"/>
  <c r="D95" i="4" s="1"/>
  <c r="B96" i="4"/>
  <c r="D96" i="4" s="1"/>
  <c r="B97" i="4"/>
  <c r="D97" i="4" s="1"/>
  <c r="B98" i="4"/>
  <c r="D98" i="4" s="1"/>
  <c r="B99" i="4"/>
  <c r="D99" i="4" s="1"/>
  <c r="B100" i="4"/>
  <c r="D100" i="4" s="1"/>
  <c r="B101" i="4"/>
  <c r="D101" i="4" s="1"/>
  <c r="B102" i="4"/>
  <c r="D102" i="4" s="1"/>
  <c r="B78" i="4"/>
  <c r="D78" i="4" s="1"/>
  <c r="B79" i="4"/>
  <c r="D79" i="4" s="1"/>
  <c r="B80" i="4"/>
  <c r="D80" i="4" s="1"/>
  <c r="B81" i="4"/>
  <c r="D81" i="4" s="1"/>
  <c r="B82" i="4"/>
  <c r="B83" i="4"/>
  <c r="D83" i="4" s="1"/>
  <c r="B84" i="4"/>
  <c r="D84" i="4" s="1"/>
  <c r="B85" i="4"/>
  <c r="D85" i="4" s="1"/>
  <c r="B86" i="4"/>
  <c r="D86" i="4" s="1"/>
  <c r="B87" i="4"/>
  <c r="D87" i="4" s="1"/>
  <c r="B88" i="4"/>
  <c r="D88" i="4" s="1"/>
  <c r="B89" i="4"/>
  <c r="D89" i="4" s="1"/>
  <c r="B67" i="4"/>
  <c r="D67" i="4" s="1"/>
  <c r="B68" i="4"/>
  <c r="D68" i="4" s="1"/>
  <c r="B69" i="4"/>
  <c r="D69" i="4" s="1"/>
  <c r="B70" i="4"/>
  <c r="D70" i="4" s="1"/>
  <c r="B71" i="4"/>
  <c r="D71" i="4" s="1"/>
  <c r="B72" i="4"/>
  <c r="D72" i="4" s="1"/>
  <c r="B73" i="4"/>
  <c r="D73" i="4" s="1"/>
  <c r="B74" i="4"/>
  <c r="D74" i="4" s="1"/>
  <c r="B75" i="4"/>
  <c r="D75" i="4" s="1"/>
  <c r="B76" i="4"/>
  <c r="D76" i="4" s="1"/>
  <c r="B77" i="4"/>
  <c r="D77" i="4" s="1"/>
  <c r="B54" i="4"/>
  <c r="D54" i="4" s="1"/>
  <c r="B55" i="4"/>
  <c r="D55" i="4" s="1"/>
  <c r="B56" i="4"/>
  <c r="D56" i="4" s="1"/>
  <c r="B57" i="4"/>
  <c r="D57" i="4" s="1"/>
  <c r="B58" i="4"/>
  <c r="D58" i="4" s="1"/>
  <c r="B59" i="4"/>
  <c r="D59" i="4" s="1"/>
  <c r="B60" i="4"/>
  <c r="D60" i="4" s="1"/>
  <c r="B61" i="4"/>
  <c r="D61" i="4" s="1"/>
  <c r="B62" i="4"/>
  <c r="D62" i="4" s="1"/>
  <c r="B64" i="4"/>
  <c r="D64" i="4" s="1"/>
  <c r="B65" i="4"/>
  <c r="D65" i="4" s="1"/>
  <c r="B66" i="4"/>
  <c r="D66" i="4" s="1"/>
  <c r="B46" i="4"/>
  <c r="D46" i="4" s="1"/>
  <c r="B47" i="4"/>
  <c r="D47" i="4" s="1"/>
  <c r="B48" i="4"/>
  <c r="D48" i="4" s="1"/>
  <c r="B49" i="4"/>
  <c r="D49" i="4" s="1"/>
  <c r="B50" i="4"/>
  <c r="D50" i="4" s="1"/>
  <c r="B51" i="4"/>
  <c r="D51" i="4" s="1"/>
  <c r="B52" i="4"/>
  <c r="D52" i="4" s="1"/>
  <c r="B53" i="4"/>
  <c r="D53" i="4" s="1"/>
  <c r="B38" i="4"/>
  <c r="D38" i="4" s="1"/>
  <c r="B39" i="4"/>
  <c r="D39" i="4" s="1"/>
  <c r="B40" i="4"/>
  <c r="D40" i="4" s="1"/>
  <c r="B41" i="4"/>
  <c r="D41" i="4" s="1"/>
  <c r="B42" i="4"/>
  <c r="D42" i="4" s="1"/>
  <c r="B43" i="4"/>
  <c r="D43" i="4" s="1"/>
  <c r="B44" i="4"/>
  <c r="D44" i="4" s="1"/>
  <c r="B45" i="4"/>
  <c r="D45" i="4" s="1"/>
  <c r="B27" i="4"/>
  <c r="D27" i="4" s="1"/>
  <c r="B28" i="4"/>
  <c r="B29" i="4"/>
  <c r="D29" i="4" s="1"/>
  <c r="B30" i="4"/>
  <c r="D30" i="4" s="1"/>
  <c r="B31" i="4"/>
  <c r="D31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B26" i="4"/>
  <c r="D26" i="4" s="1"/>
  <c r="B25" i="4"/>
  <c r="B24" i="4"/>
  <c r="B23" i="4"/>
  <c r="B22" i="4"/>
  <c r="B21" i="4"/>
  <c r="D21" i="4" s="1"/>
  <c r="B20" i="4"/>
  <c r="B4" i="4"/>
  <c r="D4" i="4" s="1"/>
  <c r="C5" i="4"/>
  <c r="B9" i="5" s="1"/>
  <c r="B6" i="4"/>
  <c r="D6" i="4" s="1"/>
  <c r="B7" i="4"/>
  <c r="D7" i="4" s="1"/>
  <c r="B8" i="4"/>
  <c r="D8" i="4" s="1"/>
  <c r="B9" i="4"/>
  <c r="D9" i="4" s="1"/>
  <c r="B10" i="4"/>
  <c r="D10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17" i="4"/>
  <c r="D17" i="4" s="1"/>
  <c r="B18" i="4"/>
  <c r="B19" i="4"/>
  <c r="B3" i="4"/>
  <c r="A12" i="1"/>
  <c r="A11" i="1"/>
  <c r="A10" i="1"/>
  <c r="A9" i="1"/>
  <c r="A8" i="1"/>
  <c r="A7" i="1"/>
  <c r="D67" i="5" l="1"/>
  <c r="C67" i="5"/>
  <c r="G67" i="5"/>
  <c r="E67" i="5"/>
  <c r="F67" i="5"/>
  <c r="A125" i="5"/>
  <c r="D121" i="4"/>
  <c r="A117" i="5"/>
  <c r="D113" i="4"/>
  <c r="A109" i="5"/>
  <c r="D105" i="4"/>
  <c r="A135" i="5"/>
  <c r="D131" i="4"/>
  <c r="A143" i="5"/>
  <c r="D139" i="4"/>
  <c r="A124" i="5"/>
  <c r="D120" i="4"/>
  <c r="A108" i="5"/>
  <c r="D104" i="4"/>
  <c r="A142" i="5"/>
  <c r="D138" i="4"/>
  <c r="A123" i="5"/>
  <c r="D119" i="4"/>
  <c r="A115" i="5"/>
  <c r="D111" i="4"/>
  <c r="A107" i="5"/>
  <c r="D103" i="4"/>
  <c r="A22" i="5"/>
  <c r="D18" i="4"/>
  <c r="A122" i="5"/>
  <c r="D118" i="4"/>
  <c r="A114" i="5"/>
  <c r="D110" i="4"/>
  <c r="A129" i="5"/>
  <c r="D125" i="4"/>
  <c r="A121" i="5"/>
  <c r="D117" i="4"/>
  <c r="A113" i="5"/>
  <c r="D109" i="4"/>
  <c r="A132" i="5"/>
  <c r="D128" i="4"/>
  <c r="A146" i="5"/>
  <c r="D142" i="4"/>
  <c r="A126" i="5"/>
  <c r="D122" i="4"/>
  <c r="A118" i="5"/>
  <c r="D114" i="4"/>
  <c r="A110" i="5"/>
  <c r="D106" i="4"/>
  <c r="A144" i="5"/>
  <c r="A147" i="5"/>
  <c r="A128" i="5"/>
  <c r="D124" i="4"/>
  <c r="A120" i="5"/>
  <c r="D116" i="4"/>
  <c r="A112" i="5"/>
  <c r="D108" i="4"/>
  <c r="A137" i="5"/>
  <c r="D133" i="4"/>
  <c r="A127" i="5"/>
  <c r="D123" i="4"/>
  <c r="A119" i="5"/>
  <c r="D115" i="4"/>
  <c r="A111" i="5"/>
  <c r="D107" i="4"/>
  <c r="A130" i="5"/>
  <c r="D126" i="4"/>
  <c r="A136" i="5"/>
  <c r="D132" i="4"/>
  <c r="C32" i="4"/>
  <c r="B36" i="5" s="1"/>
  <c r="A36" i="5"/>
  <c r="C55" i="4"/>
  <c r="B59" i="5" s="1"/>
  <c r="A59" i="5"/>
  <c r="C14" i="4"/>
  <c r="B18" i="5" s="1"/>
  <c r="A18" i="5"/>
  <c r="C6" i="4"/>
  <c r="B10" i="5" s="1"/>
  <c r="A10" i="5"/>
  <c r="C50" i="4"/>
  <c r="B54" i="5" s="1"/>
  <c r="A54" i="5"/>
  <c r="C70" i="4"/>
  <c r="B74" i="5" s="1"/>
  <c r="A74" i="5"/>
  <c r="C102" i="4"/>
  <c r="B106" i="5" s="1"/>
  <c r="A106" i="5"/>
  <c r="C13" i="4"/>
  <c r="B17" i="5" s="1"/>
  <c r="A17" i="5"/>
  <c r="C26" i="4"/>
  <c r="B30" i="5" s="1"/>
  <c r="A30" i="5"/>
  <c r="C30" i="4"/>
  <c r="B34" i="5" s="1"/>
  <c r="A34" i="5"/>
  <c r="C49" i="4"/>
  <c r="B53" i="5" s="1"/>
  <c r="A53" i="5"/>
  <c r="C77" i="4"/>
  <c r="B81" i="5" s="1"/>
  <c r="A81" i="5"/>
  <c r="C84" i="4"/>
  <c r="B88" i="5" s="1"/>
  <c r="A88" i="5"/>
  <c r="C93" i="4"/>
  <c r="B97" i="5" s="1"/>
  <c r="A97" i="5"/>
  <c r="C12" i="4"/>
  <c r="B16" i="5" s="1"/>
  <c r="A16" i="5"/>
  <c r="C4" i="4"/>
  <c r="B8" i="5" s="1"/>
  <c r="A8" i="5"/>
  <c r="C37" i="4"/>
  <c r="B41" i="5" s="1"/>
  <c r="A41" i="5"/>
  <c r="C29" i="4"/>
  <c r="B33" i="5" s="1"/>
  <c r="A33" i="5"/>
  <c r="C40" i="4"/>
  <c r="B44" i="5" s="1"/>
  <c r="A44" i="5"/>
  <c r="C48" i="4"/>
  <c r="B52" i="5" s="1"/>
  <c r="A52" i="5"/>
  <c r="C60" i="4"/>
  <c r="B64" i="5" s="1"/>
  <c r="A64" i="5"/>
  <c r="C76" i="4"/>
  <c r="B80" i="5" s="1"/>
  <c r="A80" i="5"/>
  <c r="C68" i="4"/>
  <c r="B72" i="5" s="1"/>
  <c r="A72" i="5"/>
  <c r="C83" i="4"/>
  <c r="B87" i="5" s="1"/>
  <c r="A87" i="5"/>
  <c r="C100" i="4"/>
  <c r="B104" i="5" s="1"/>
  <c r="A104" i="5"/>
  <c r="C92" i="4"/>
  <c r="B96" i="5" s="1"/>
  <c r="A96" i="5"/>
  <c r="C112" i="4"/>
  <c r="B116" i="5" s="1"/>
  <c r="A116" i="5"/>
  <c r="C137" i="4"/>
  <c r="B141" i="5" s="1"/>
  <c r="A141" i="5"/>
  <c r="C7" i="4"/>
  <c r="B11" i="5" s="1"/>
  <c r="A11" i="5"/>
  <c r="C71" i="4"/>
  <c r="B75" i="5" s="1"/>
  <c r="A75" i="5"/>
  <c r="C41" i="4"/>
  <c r="B45" i="5" s="1"/>
  <c r="A45" i="5"/>
  <c r="C61" i="4"/>
  <c r="B65" i="5" s="1"/>
  <c r="A65" i="5"/>
  <c r="C69" i="4"/>
  <c r="B73" i="5" s="1"/>
  <c r="A73" i="5"/>
  <c r="C101" i="4"/>
  <c r="B105" i="5" s="1"/>
  <c r="A105" i="5"/>
  <c r="C19" i="4"/>
  <c r="B23" i="5" s="1"/>
  <c r="A23" i="5"/>
  <c r="C11" i="4"/>
  <c r="B15" i="5" s="1"/>
  <c r="A15" i="5"/>
  <c r="C20" i="4"/>
  <c r="B24" i="5" s="1"/>
  <c r="A24" i="5"/>
  <c r="C36" i="4"/>
  <c r="B40" i="5" s="1"/>
  <c r="A40" i="5"/>
  <c r="C28" i="4"/>
  <c r="B32" i="5" s="1"/>
  <c r="A32" i="5"/>
  <c r="C39" i="4"/>
  <c r="B43" i="5" s="1"/>
  <c r="A43" i="5"/>
  <c r="C47" i="4"/>
  <c r="B51" i="5" s="1"/>
  <c r="A51" i="5"/>
  <c r="C59" i="4"/>
  <c r="B63" i="5" s="1"/>
  <c r="A63" i="5"/>
  <c r="C75" i="4"/>
  <c r="B79" i="5" s="1"/>
  <c r="A79" i="5"/>
  <c r="C67" i="4"/>
  <c r="B71" i="5" s="1"/>
  <c r="A71" i="5"/>
  <c r="C82" i="4"/>
  <c r="B86" i="5" s="1"/>
  <c r="A86" i="5"/>
  <c r="C99" i="4"/>
  <c r="B103" i="5" s="1"/>
  <c r="A103" i="5"/>
  <c r="C91" i="4"/>
  <c r="B95" i="5" s="1"/>
  <c r="A95" i="5"/>
  <c r="C136" i="4"/>
  <c r="B140" i="5" s="1"/>
  <c r="A140" i="5"/>
  <c r="C141" i="4"/>
  <c r="B145" i="5" s="1"/>
  <c r="A145" i="5"/>
  <c r="C51" i="4"/>
  <c r="B55" i="5" s="1"/>
  <c r="A55" i="5"/>
  <c r="C95" i="4"/>
  <c r="B99" i="5" s="1"/>
  <c r="A99" i="5"/>
  <c r="C25" i="4"/>
  <c r="B29" i="5" s="1"/>
  <c r="A29" i="5"/>
  <c r="C54" i="4"/>
  <c r="B58" i="5" s="1"/>
  <c r="A58" i="5"/>
  <c r="C94" i="4"/>
  <c r="B98" i="5" s="1"/>
  <c r="A98" i="5"/>
  <c r="C10" i="4"/>
  <c r="B14" i="5" s="1"/>
  <c r="A14" i="5"/>
  <c r="C35" i="4"/>
  <c r="B39" i="5" s="1"/>
  <c r="A39" i="5"/>
  <c r="C38" i="4"/>
  <c r="B42" i="5" s="1"/>
  <c r="A42" i="5"/>
  <c r="C46" i="4"/>
  <c r="B50" i="5" s="1"/>
  <c r="A50" i="5"/>
  <c r="C58" i="4"/>
  <c r="B62" i="5" s="1"/>
  <c r="A62" i="5"/>
  <c r="C74" i="4"/>
  <c r="B78" i="5" s="1"/>
  <c r="A78" i="5"/>
  <c r="C89" i="4"/>
  <c r="B93" i="5" s="1"/>
  <c r="A93" i="5"/>
  <c r="C81" i="4"/>
  <c r="B85" i="5" s="1"/>
  <c r="A85" i="5"/>
  <c r="C98" i="4"/>
  <c r="B102" i="5" s="1"/>
  <c r="A102" i="5"/>
  <c r="C90" i="4"/>
  <c r="B94" i="5" s="1"/>
  <c r="A94" i="5"/>
  <c r="C135" i="4"/>
  <c r="B139" i="5" s="1"/>
  <c r="A139" i="5"/>
  <c r="C24" i="4"/>
  <c r="B28" i="5" s="1"/>
  <c r="A28" i="5"/>
  <c r="C86" i="4"/>
  <c r="B90" i="5" s="1"/>
  <c r="A90" i="5"/>
  <c r="C42" i="4"/>
  <c r="B46" i="5" s="1"/>
  <c r="A46" i="5"/>
  <c r="C85" i="4"/>
  <c r="B89" i="5" s="1"/>
  <c r="A89" i="5"/>
  <c r="C22" i="4"/>
  <c r="B26" i="5" s="1"/>
  <c r="A26" i="5"/>
  <c r="C45" i="4"/>
  <c r="B49" i="5" s="1"/>
  <c r="A49" i="5"/>
  <c r="C73" i="4"/>
  <c r="B77" i="5" s="1"/>
  <c r="A77" i="5"/>
  <c r="C134" i="4"/>
  <c r="B138" i="5" s="1"/>
  <c r="A138" i="5"/>
  <c r="C15" i="4"/>
  <c r="B19" i="5" s="1"/>
  <c r="A19" i="5"/>
  <c r="C43" i="4"/>
  <c r="B47" i="5" s="1"/>
  <c r="A47" i="5"/>
  <c r="C64" i="4"/>
  <c r="B68" i="5" s="1"/>
  <c r="A68" i="5"/>
  <c r="C78" i="4"/>
  <c r="B82" i="5" s="1"/>
  <c r="A82" i="5"/>
  <c r="C31" i="4"/>
  <c r="B35" i="5" s="1"/>
  <c r="A35" i="5"/>
  <c r="C62" i="4"/>
  <c r="B66" i="5" s="1"/>
  <c r="A66" i="5"/>
  <c r="C21" i="4"/>
  <c r="B25" i="5" s="1"/>
  <c r="A25" i="5"/>
  <c r="C27" i="4"/>
  <c r="B31" i="5" s="1"/>
  <c r="A31" i="5"/>
  <c r="C17" i="4"/>
  <c r="B21" i="5" s="1"/>
  <c r="A21" i="5"/>
  <c r="C9" i="4"/>
  <c r="B13" i="5" s="1"/>
  <c r="A13" i="5"/>
  <c r="C34" i="4"/>
  <c r="B38" i="5" s="1"/>
  <c r="A38" i="5"/>
  <c r="C53" i="4"/>
  <c r="B57" i="5" s="1"/>
  <c r="A57" i="5"/>
  <c r="C66" i="4"/>
  <c r="B70" i="5" s="1"/>
  <c r="A70" i="5"/>
  <c r="C57" i="4"/>
  <c r="B61" i="5" s="1"/>
  <c r="A61" i="5"/>
  <c r="C88" i="4"/>
  <c r="B92" i="5" s="1"/>
  <c r="A92" i="5"/>
  <c r="C80" i="4"/>
  <c r="B84" i="5" s="1"/>
  <c r="A84" i="5"/>
  <c r="C97" i="4"/>
  <c r="B101" i="5" s="1"/>
  <c r="A101" i="5"/>
  <c r="C16" i="4"/>
  <c r="B20" i="5" s="1"/>
  <c r="A20" i="5"/>
  <c r="C8" i="4"/>
  <c r="B12" i="5" s="1"/>
  <c r="E8" i="4"/>
  <c r="A12" i="5"/>
  <c r="C23" i="4"/>
  <c r="B27" i="5" s="1"/>
  <c r="A27" i="5"/>
  <c r="C33" i="4"/>
  <c r="B37" i="5" s="1"/>
  <c r="A37" i="5"/>
  <c r="C44" i="4"/>
  <c r="B48" i="5" s="1"/>
  <c r="A48" i="5"/>
  <c r="C52" i="4"/>
  <c r="B56" i="5" s="1"/>
  <c r="A56" i="5"/>
  <c r="C65" i="4"/>
  <c r="B69" i="5" s="1"/>
  <c r="A69" i="5"/>
  <c r="C56" i="4"/>
  <c r="B60" i="5" s="1"/>
  <c r="A60" i="5"/>
  <c r="C72" i="4"/>
  <c r="B76" i="5" s="1"/>
  <c r="A76" i="5"/>
  <c r="C87" i="4"/>
  <c r="B91" i="5" s="1"/>
  <c r="A91" i="5"/>
  <c r="C79" i="4"/>
  <c r="B83" i="5" s="1"/>
  <c r="A83" i="5"/>
  <c r="C96" i="4"/>
  <c r="B100" i="5" s="1"/>
  <c r="A100" i="5"/>
  <c r="C127" i="4"/>
  <c r="B131" i="5" s="1"/>
  <c r="A131" i="5"/>
  <c r="C123" i="4"/>
  <c r="B127" i="5" s="1"/>
  <c r="C114" i="4"/>
  <c r="B118" i="5" s="1"/>
  <c r="C113" i="4"/>
  <c r="B117" i="5" s="1"/>
  <c r="C131" i="4"/>
  <c r="B135" i="5" s="1"/>
  <c r="C104" i="4"/>
  <c r="B108" i="5" s="1"/>
  <c r="C18" i="4"/>
  <c r="B22" i="5" s="1"/>
  <c r="C118" i="4"/>
  <c r="B122" i="5" s="1"/>
  <c r="C110" i="4"/>
  <c r="B114" i="5" s="1"/>
  <c r="C129" i="4"/>
  <c r="B133" i="5" s="1"/>
  <c r="C143" i="4"/>
  <c r="B147" i="5" s="1"/>
  <c r="C122" i="4"/>
  <c r="B126" i="5" s="1"/>
  <c r="C106" i="4"/>
  <c r="B110" i="5" s="1"/>
  <c r="C130" i="4"/>
  <c r="B134" i="5" s="1"/>
  <c r="C140" i="4"/>
  <c r="B144" i="5" s="1"/>
  <c r="C121" i="4"/>
  <c r="B125" i="5" s="1"/>
  <c r="C105" i="4"/>
  <c r="B109" i="5" s="1"/>
  <c r="C3" i="4"/>
  <c r="B7" i="5" s="1"/>
  <c r="A7" i="5"/>
  <c r="C119" i="4"/>
  <c r="B123" i="5" s="1"/>
  <c r="C111" i="4"/>
  <c r="B115" i="5" s="1"/>
  <c r="C103" i="4"/>
  <c r="B107" i="5" s="1"/>
  <c r="C125" i="4"/>
  <c r="B129" i="5" s="1"/>
  <c r="C117" i="4"/>
  <c r="B121" i="5" s="1"/>
  <c r="C109" i="4"/>
  <c r="B113" i="5" s="1"/>
  <c r="C128" i="4"/>
  <c r="B132" i="5" s="1"/>
  <c r="C142" i="4"/>
  <c r="B146" i="5" s="1"/>
  <c r="C115" i="4"/>
  <c r="B119" i="5" s="1"/>
  <c r="C107" i="4"/>
  <c r="B111" i="5" s="1"/>
  <c r="C126" i="4"/>
  <c r="B130" i="5" s="1"/>
  <c r="C132" i="4"/>
  <c r="B136" i="5" s="1"/>
  <c r="C139" i="4"/>
  <c r="B143" i="5" s="1"/>
  <c r="C120" i="4"/>
  <c r="B124" i="5" s="1"/>
  <c r="C138" i="4"/>
  <c r="B142" i="5" s="1"/>
  <c r="C124" i="4"/>
  <c r="B128" i="5" s="1"/>
  <c r="C116" i="4"/>
  <c r="B120" i="5" s="1"/>
  <c r="C108" i="4"/>
  <c r="B112" i="5" s="1"/>
  <c r="C133" i="4"/>
  <c r="B137" i="5" s="1"/>
  <c r="C188" i="2" l="1"/>
  <c r="D140" i="4" s="1"/>
  <c r="C142" i="5"/>
  <c r="C136" i="5"/>
  <c r="C135" i="5" s="1"/>
  <c r="K135" i="5" s="1"/>
  <c r="C130" i="5"/>
  <c r="C129" i="5" s="1"/>
  <c r="C128" i="5"/>
  <c r="C127" i="5"/>
  <c r="C125" i="5"/>
  <c r="C124" i="5"/>
  <c r="C123" i="5"/>
  <c r="C122" i="5"/>
  <c r="C121" i="5"/>
  <c r="C120" i="5"/>
  <c r="C119" i="5"/>
  <c r="C118" i="5"/>
  <c r="C7" i="8"/>
  <c r="C114" i="5"/>
  <c r="C110" i="5"/>
  <c r="C106" i="5"/>
  <c r="C100" i="5"/>
  <c r="C6" i="8"/>
  <c r="C71" i="5"/>
  <c r="C70" i="5"/>
  <c r="C5" i="8"/>
  <c r="C58" i="2"/>
  <c r="C9" i="5"/>
  <c r="C4" i="8"/>
  <c r="K139" i="4"/>
  <c r="K138" i="4"/>
  <c r="G142" i="5" s="1"/>
  <c r="K133" i="4"/>
  <c r="K132" i="4"/>
  <c r="G136" i="5" s="1"/>
  <c r="G135" i="5" s="1"/>
  <c r="K131" i="4"/>
  <c r="K126" i="4"/>
  <c r="G130" i="5" s="1"/>
  <c r="G129" i="5" s="1"/>
  <c r="K125" i="4"/>
  <c r="K124" i="4"/>
  <c r="G128" i="5" s="1"/>
  <c r="K123" i="4"/>
  <c r="G127" i="5" s="1"/>
  <c r="K122" i="4"/>
  <c r="K121" i="4"/>
  <c r="G125" i="5" s="1"/>
  <c r="K120" i="4"/>
  <c r="G124" i="5" s="1"/>
  <c r="K119" i="4"/>
  <c r="G123" i="5" s="1"/>
  <c r="K118" i="4"/>
  <c r="G122" i="5" s="1"/>
  <c r="K117" i="4"/>
  <c r="G121" i="5" s="1"/>
  <c r="K116" i="4"/>
  <c r="G120" i="5" s="1"/>
  <c r="K115" i="4"/>
  <c r="G119" i="5" s="1"/>
  <c r="K114" i="4"/>
  <c r="G118" i="5" s="1"/>
  <c r="K113" i="4"/>
  <c r="O7" i="8"/>
  <c r="K111" i="4"/>
  <c r="K110" i="4"/>
  <c r="K109" i="4"/>
  <c r="K108" i="4"/>
  <c r="K107" i="4"/>
  <c r="K106" i="4"/>
  <c r="K105" i="4"/>
  <c r="K104" i="4"/>
  <c r="K102" i="4"/>
  <c r="K101" i="4"/>
  <c r="K100" i="4"/>
  <c r="K99" i="4"/>
  <c r="K98" i="4"/>
  <c r="K97" i="4"/>
  <c r="K96" i="4"/>
  <c r="K95" i="4"/>
  <c r="K94" i="4"/>
  <c r="K93" i="4"/>
  <c r="K92" i="4"/>
  <c r="K91" i="4"/>
  <c r="O6" i="8"/>
  <c r="K67" i="4"/>
  <c r="G71" i="5" s="1"/>
  <c r="K66" i="4"/>
  <c r="G70" i="5" s="1"/>
  <c r="O5" i="8"/>
  <c r="O58" i="2"/>
  <c r="M192" i="2"/>
  <c r="M9" i="8" s="1"/>
  <c r="M7" i="8"/>
  <c r="M6" i="8"/>
  <c r="M5" i="8"/>
  <c r="M58" i="2"/>
  <c r="M4" i="8"/>
  <c r="N4" i="8" s="1"/>
  <c r="H143" i="4"/>
  <c r="H142" i="4"/>
  <c r="H141" i="4" s="1"/>
  <c r="I9" i="8"/>
  <c r="H140" i="4"/>
  <c r="H139" i="4"/>
  <c r="H138" i="4"/>
  <c r="H133" i="4"/>
  <c r="H132" i="4"/>
  <c r="H131" i="4"/>
  <c r="H130" i="4"/>
  <c r="H129" i="4"/>
  <c r="H128" i="4"/>
  <c r="I8" i="8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I7" i="8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I6" i="8"/>
  <c r="H67" i="4"/>
  <c r="H66" i="4"/>
  <c r="I5" i="8"/>
  <c r="H22" i="4"/>
  <c r="I139" i="4"/>
  <c r="I138" i="4"/>
  <c r="I133" i="4"/>
  <c r="I132" i="4"/>
  <c r="I131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K7" i="8"/>
  <c r="L7" i="8" s="1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K6" i="8"/>
  <c r="I67" i="4"/>
  <c r="I66" i="4"/>
  <c r="K5" i="8"/>
  <c r="K58" i="2"/>
  <c r="K4" i="8"/>
  <c r="L4" i="8" s="1"/>
  <c r="G139" i="4"/>
  <c r="G138" i="4"/>
  <c r="G133" i="4"/>
  <c r="G132" i="4"/>
  <c r="G131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7" i="8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6" i="8"/>
  <c r="H6" i="8" s="1"/>
  <c r="G67" i="4"/>
  <c r="G66" i="4"/>
  <c r="G5" i="8"/>
  <c r="H5" i="8" s="1"/>
  <c r="G58" i="2"/>
  <c r="G4" i="8"/>
  <c r="F139" i="4"/>
  <c r="F138" i="4"/>
  <c r="E142" i="5" s="1"/>
  <c r="F133" i="4"/>
  <c r="F132" i="4"/>
  <c r="E136" i="5" s="1"/>
  <c r="E135" i="5" s="1"/>
  <c r="F131" i="4"/>
  <c r="F126" i="4"/>
  <c r="E130" i="5" s="1"/>
  <c r="E129" i="5" s="1"/>
  <c r="F125" i="4"/>
  <c r="F124" i="4"/>
  <c r="E128" i="5" s="1"/>
  <c r="F123" i="4"/>
  <c r="E127" i="5" s="1"/>
  <c r="F122" i="4"/>
  <c r="F121" i="4"/>
  <c r="E125" i="5" s="1"/>
  <c r="F120" i="4"/>
  <c r="E124" i="5" s="1"/>
  <c r="F119" i="4"/>
  <c r="E123" i="5" s="1"/>
  <c r="F118" i="4"/>
  <c r="E122" i="5" s="1"/>
  <c r="F117" i="4"/>
  <c r="E121" i="5" s="1"/>
  <c r="F116" i="4"/>
  <c r="E120" i="5" s="1"/>
  <c r="F115" i="4"/>
  <c r="E119" i="5" s="1"/>
  <c r="F114" i="4"/>
  <c r="E118" i="5" s="1"/>
  <c r="F113" i="4"/>
  <c r="E7" i="8"/>
  <c r="F111" i="4"/>
  <c r="E115" i="5" s="1"/>
  <c r="F110" i="4"/>
  <c r="E114" i="5" s="1"/>
  <c r="F109" i="4"/>
  <c r="E113" i="5" s="1"/>
  <c r="F108" i="4"/>
  <c r="E112" i="5" s="1"/>
  <c r="F107" i="4"/>
  <c r="E111" i="5" s="1"/>
  <c r="F106" i="4"/>
  <c r="E110" i="5" s="1"/>
  <c r="F105" i="4"/>
  <c r="E109" i="5" s="1"/>
  <c r="F104" i="4"/>
  <c r="E108" i="5" s="1"/>
  <c r="F103" i="4"/>
  <c r="F102" i="4"/>
  <c r="E106" i="5" s="1"/>
  <c r="F101" i="4"/>
  <c r="E105" i="5" s="1"/>
  <c r="F100" i="4"/>
  <c r="F99" i="4"/>
  <c r="E103" i="5" s="1"/>
  <c r="F98" i="4"/>
  <c r="E102" i="5" s="1"/>
  <c r="F97" i="4"/>
  <c r="E101" i="5" s="1"/>
  <c r="F96" i="4"/>
  <c r="E100" i="5" s="1"/>
  <c r="F95" i="4"/>
  <c r="E99" i="5" s="1"/>
  <c r="F94" i="4"/>
  <c r="E98" i="5" s="1"/>
  <c r="F93" i="4"/>
  <c r="E97" i="5" s="1"/>
  <c r="F92" i="4"/>
  <c r="F91" i="4"/>
  <c r="E95" i="5" s="1"/>
  <c r="E6" i="8"/>
  <c r="F67" i="4"/>
  <c r="E71" i="5" s="1"/>
  <c r="F66" i="4"/>
  <c r="E70" i="5" s="1"/>
  <c r="E5" i="8"/>
  <c r="E58" i="2"/>
  <c r="E4" i="8"/>
  <c r="E139" i="4"/>
  <c r="E138" i="4"/>
  <c r="D142" i="5" s="1"/>
  <c r="E133" i="4"/>
  <c r="E132" i="4"/>
  <c r="D136" i="5" s="1"/>
  <c r="D135" i="5" s="1"/>
  <c r="E131" i="4"/>
  <c r="E126" i="4"/>
  <c r="D130" i="5" s="1"/>
  <c r="D129" i="5" s="1"/>
  <c r="E125" i="4"/>
  <c r="E124" i="4"/>
  <c r="D128" i="5" s="1"/>
  <c r="E123" i="4"/>
  <c r="D127" i="5" s="1"/>
  <c r="E122" i="4"/>
  <c r="E121" i="4"/>
  <c r="D125" i="5" s="1"/>
  <c r="E120" i="4"/>
  <c r="D124" i="5" s="1"/>
  <c r="E119" i="4"/>
  <c r="D123" i="5" s="1"/>
  <c r="E118" i="4"/>
  <c r="D122" i="5" s="1"/>
  <c r="E117" i="4"/>
  <c r="D121" i="5" s="1"/>
  <c r="E116" i="4"/>
  <c r="D120" i="5" s="1"/>
  <c r="E115" i="4"/>
  <c r="D119" i="5" s="1"/>
  <c r="E114" i="4"/>
  <c r="D118" i="5" s="1"/>
  <c r="E113" i="4"/>
  <c r="D7" i="8"/>
  <c r="E111" i="4"/>
  <c r="D115" i="5" s="1"/>
  <c r="E110" i="4"/>
  <c r="D114" i="5" s="1"/>
  <c r="E109" i="4"/>
  <c r="D113" i="5" s="1"/>
  <c r="E108" i="4"/>
  <c r="D112" i="5" s="1"/>
  <c r="E107" i="4"/>
  <c r="D111" i="5" s="1"/>
  <c r="E106" i="4"/>
  <c r="D110" i="5" s="1"/>
  <c r="E105" i="4"/>
  <c r="D109" i="5" s="1"/>
  <c r="E104" i="4"/>
  <c r="D108" i="5" s="1"/>
  <c r="E103" i="4"/>
  <c r="E102" i="4"/>
  <c r="D106" i="5" s="1"/>
  <c r="E101" i="4"/>
  <c r="D105" i="5" s="1"/>
  <c r="E100" i="4"/>
  <c r="E99" i="4"/>
  <c r="D103" i="5" s="1"/>
  <c r="E98" i="4"/>
  <c r="D102" i="5" s="1"/>
  <c r="E97" i="4"/>
  <c r="D101" i="5" s="1"/>
  <c r="E96" i="4"/>
  <c r="D100" i="5" s="1"/>
  <c r="E95" i="4"/>
  <c r="D99" i="5" s="1"/>
  <c r="E94" i="4"/>
  <c r="D98" i="5" s="1"/>
  <c r="E93" i="4"/>
  <c r="D97" i="5" s="1"/>
  <c r="E92" i="4"/>
  <c r="E91" i="4"/>
  <c r="D95" i="5" s="1"/>
  <c r="D6" i="8"/>
  <c r="E67" i="4"/>
  <c r="D71" i="5" s="1"/>
  <c r="E66" i="4"/>
  <c r="D70" i="5" s="1"/>
  <c r="D5" i="8"/>
  <c r="D58" i="2"/>
  <c r="Q192" i="2"/>
  <c r="Q9" i="8" s="1"/>
  <c r="Q7" i="8"/>
  <c r="Q6" i="8"/>
  <c r="Q5" i="8"/>
  <c r="Q58" i="2"/>
  <c r="Q4" i="8"/>
  <c r="L6" i="8" l="1"/>
  <c r="L5" i="8"/>
  <c r="P6" i="8"/>
  <c r="N6" i="8"/>
  <c r="H7" i="8"/>
  <c r="P5" i="8"/>
  <c r="N5" i="8"/>
  <c r="P7" i="8"/>
  <c r="N7" i="8"/>
  <c r="J58" i="2"/>
  <c r="D25" i="4"/>
  <c r="C144" i="5"/>
  <c r="C143" i="5" s="1"/>
  <c r="K143" i="5" s="1"/>
  <c r="J188" i="2"/>
  <c r="F6" i="8"/>
  <c r="E126" i="5"/>
  <c r="M194" i="2"/>
  <c r="G188" i="2"/>
  <c r="G140" i="4" s="1"/>
  <c r="K194" i="2"/>
  <c r="I143" i="4" s="1"/>
  <c r="M125" i="4"/>
  <c r="F112" i="4"/>
  <c r="J116" i="4"/>
  <c r="F120" i="5" s="1"/>
  <c r="L121" i="4"/>
  <c r="H125" i="5" s="1"/>
  <c r="J119" i="4"/>
  <c r="F123" i="5" s="1"/>
  <c r="M122" i="4"/>
  <c r="I126" i="5" s="1"/>
  <c r="E188" i="2"/>
  <c r="F140" i="4" s="1"/>
  <c r="E144" i="5" s="1"/>
  <c r="E143" i="5" s="1"/>
  <c r="J114" i="4"/>
  <c r="F118" i="5" s="1"/>
  <c r="J122" i="4"/>
  <c r="G194" i="2"/>
  <c r="G143" i="4" s="1"/>
  <c r="C126" i="5"/>
  <c r="J123" i="4"/>
  <c r="F127" i="5" s="1"/>
  <c r="J124" i="4"/>
  <c r="F128" i="5" s="1"/>
  <c r="L119" i="4"/>
  <c r="H123" i="5" s="1"/>
  <c r="E117" i="5"/>
  <c r="E194" i="2"/>
  <c r="F143" i="4" s="1"/>
  <c r="E147" i="5" s="1"/>
  <c r="E146" i="5" s="1"/>
  <c r="E145" i="5" s="1"/>
  <c r="G33" i="2"/>
  <c r="G52" i="2"/>
  <c r="J93" i="4"/>
  <c r="F97" i="5" s="1"/>
  <c r="J101" i="4"/>
  <c r="F105" i="5" s="1"/>
  <c r="J109" i="4"/>
  <c r="F113" i="5" s="1"/>
  <c r="J117" i="4"/>
  <c r="F121" i="5" s="1"/>
  <c r="J125" i="4"/>
  <c r="J138" i="4"/>
  <c r="F142" i="5" s="1"/>
  <c r="K27" i="2"/>
  <c r="K46" i="2"/>
  <c r="K163" i="2"/>
  <c r="I129" i="4" s="1"/>
  <c r="L131" i="4"/>
  <c r="H135" i="5" s="1"/>
  <c r="L139" i="4"/>
  <c r="H143" i="5" s="1"/>
  <c r="L116" i="4"/>
  <c r="H120" i="5" s="1"/>
  <c r="J118" i="4"/>
  <c r="F122" i="5" s="1"/>
  <c r="J139" i="4"/>
  <c r="I112" i="4"/>
  <c r="M52" i="2"/>
  <c r="R5" i="8"/>
  <c r="E168" i="2"/>
  <c r="F130" i="4" s="1"/>
  <c r="E134" i="5" s="1"/>
  <c r="J132" i="4"/>
  <c r="F136" i="5" s="1"/>
  <c r="F135" i="5" s="1"/>
  <c r="L122" i="4"/>
  <c r="H126" i="5" s="1"/>
  <c r="J7" i="8"/>
  <c r="C27" i="2"/>
  <c r="C46" i="2"/>
  <c r="C163" i="2"/>
  <c r="D129" i="4" s="1"/>
  <c r="L133" i="4"/>
  <c r="H137" i="5" s="1"/>
  <c r="J131" i="4"/>
  <c r="J95" i="4"/>
  <c r="F99" i="5" s="1"/>
  <c r="M33" i="2"/>
  <c r="L114" i="4"/>
  <c r="H118" i="5" s="1"/>
  <c r="E33" i="2"/>
  <c r="E52" i="2"/>
  <c r="F5" i="8"/>
  <c r="E104" i="5"/>
  <c r="G27" i="2"/>
  <c r="G46" i="2"/>
  <c r="G163" i="2"/>
  <c r="G129" i="4" s="1"/>
  <c r="J133" i="4"/>
  <c r="K40" i="2"/>
  <c r="I22" i="4" s="1"/>
  <c r="J115" i="4"/>
  <c r="F119" i="5" s="1"/>
  <c r="H112" i="4"/>
  <c r="M188" i="2"/>
  <c r="L113" i="4"/>
  <c r="H117" i="5" s="1"/>
  <c r="L124" i="4"/>
  <c r="H128" i="5" s="1"/>
  <c r="J108" i="4"/>
  <c r="F112" i="5" s="1"/>
  <c r="E40" i="2"/>
  <c r="F22" i="4" s="1"/>
  <c r="E26" i="5" s="1"/>
  <c r="J126" i="4"/>
  <c r="F130" i="5" s="1"/>
  <c r="F129" i="5" s="1"/>
  <c r="J121" i="4"/>
  <c r="F125" i="5" s="1"/>
  <c r="M163" i="2"/>
  <c r="M92" i="4"/>
  <c r="M100" i="4"/>
  <c r="D143" i="4"/>
  <c r="M168" i="2"/>
  <c r="L103" i="4"/>
  <c r="H107" i="5" s="1"/>
  <c r="J103" i="4"/>
  <c r="G161" i="2"/>
  <c r="G128" i="4"/>
  <c r="L120" i="4"/>
  <c r="H124" i="5" s="1"/>
  <c r="J104" i="4"/>
  <c r="F108" i="5" s="1"/>
  <c r="E192" i="2"/>
  <c r="E9" i="8" s="1"/>
  <c r="F142" i="4"/>
  <c r="F141" i="4" s="1"/>
  <c r="L92" i="4"/>
  <c r="J92" i="4"/>
  <c r="L100" i="4"/>
  <c r="H104" i="5" s="1"/>
  <c r="J100" i="4"/>
  <c r="G168" i="2"/>
  <c r="G130" i="4" s="1"/>
  <c r="K161" i="2"/>
  <c r="I128" i="4"/>
  <c r="K188" i="2"/>
  <c r="I140" i="4" s="1"/>
  <c r="J5" i="8"/>
  <c r="M40" i="2"/>
  <c r="C33" i="2"/>
  <c r="C52" i="2"/>
  <c r="C97" i="5"/>
  <c r="L93" i="4"/>
  <c r="L101" i="4"/>
  <c r="H105" i="5" s="1"/>
  <c r="C105" i="5"/>
  <c r="C104" i="5" s="1"/>
  <c r="C113" i="5"/>
  <c r="L109" i="4"/>
  <c r="H113" i="5" s="1"/>
  <c r="D112" i="4"/>
  <c r="L132" i="4"/>
  <c r="H136" i="5" s="1"/>
  <c r="C99" i="5"/>
  <c r="L95" i="4"/>
  <c r="L125" i="4"/>
  <c r="L102" i="4"/>
  <c r="H106" i="5" s="1"/>
  <c r="J102" i="4"/>
  <c r="F106" i="5" s="1"/>
  <c r="C115" i="5"/>
  <c r="L111" i="4"/>
  <c r="H115" i="5" s="1"/>
  <c r="E96" i="5"/>
  <c r="C109" i="5"/>
  <c r="L105" i="4"/>
  <c r="H109" i="5" s="1"/>
  <c r="L118" i="4"/>
  <c r="H122" i="5" s="1"/>
  <c r="L138" i="4"/>
  <c r="H142" i="5" s="1"/>
  <c r="L110" i="4"/>
  <c r="H114" i="5" s="1"/>
  <c r="J110" i="4"/>
  <c r="F114" i="5" s="1"/>
  <c r="K192" i="2"/>
  <c r="K9" i="8" s="1"/>
  <c r="I142" i="4"/>
  <c r="I141" i="4" s="1"/>
  <c r="C161" i="2"/>
  <c r="C200" i="2" s="1"/>
  <c r="J111" i="4"/>
  <c r="F115" i="5" s="1"/>
  <c r="L96" i="4"/>
  <c r="J96" i="4"/>
  <c r="F100" i="5" s="1"/>
  <c r="C101" i="5"/>
  <c r="L97" i="4"/>
  <c r="L126" i="4"/>
  <c r="H130" i="5" s="1"/>
  <c r="J97" i="4"/>
  <c r="F101" i="5" s="1"/>
  <c r="J105" i="4"/>
  <c r="F109" i="5" s="1"/>
  <c r="J113" i="4"/>
  <c r="G192" i="2"/>
  <c r="G9" i="8" s="1"/>
  <c r="G142" i="4"/>
  <c r="K168" i="2"/>
  <c r="I130" i="4" s="1"/>
  <c r="I4" i="8"/>
  <c r="J4" i="8" s="1"/>
  <c r="G7" i="1"/>
  <c r="J6" i="8"/>
  <c r="M27" i="2"/>
  <c r="M46" i="2"/>
  <c r="C102" i="5"/>
  <c r="L98" i="4"/>
  <c r="C117" i="5"/>
  <c r="C108" i="5"/>
  <c r="L104" i="4"/>
  <c r="H108" i="5" s="1"/>
  <c r="J120" i="4"/>
  <c r="F124" i="5" s="1"/>
  <c r="M161" i="2"/>
  <c r="E161" i="2"/>
  <c r="F128" i="4"/>
  <c r="J66" i="4"/>
  <c r="F70" i="5" s="1"/>
  <c r="J98" i="4"/>
  <c r="F102" i="5" s="1"/>
  <c r="L106" i="4"/>
  <c r="H110" i="5" s="1"/>
  <c r="J106" i="4"/>
  <c r="F110" i="5" s="1"/>
  <c r="K33" i="2"/>
  <c r="K52" i="2"/>
  <c r="J99" i="4"/>
  <c r="F103" i="5" s="1"/>
  <c r="C40" i="2"/>
  <c r="D22" i="4" s="1"/>
  <c r="L91" i="4"/>
  <c r="C95" i="5"/>
  <c r="C103" i="5"/>
  <c r="L99" i="4"/>
  <c r="H103" i="5" s="1"/>
  <c r="C111" i="5"/>
  <c r="L107" i="4"/>
  <c r="H111" i="5" s="1"/>
  <c r="L117" i="4"/>
  <c r="H121" i="5" s="1"/>
  <c r="G112" i="4"/>
  <c r="C98" i="5"/>
  <c r="L94" i="4"/>
  <c r="J94" i="4"/>
  <c r="F98" i="5" s="1"/>
  <c r="E27" i="2"/>
  <c r="E46" i="2"/>
  <c r="E107" i="5"/>
  <c r="F7" i="8"/>
  <c r="E163" i="2"/>
  <c r="F129" i="4" s="1"/>
  <c r="E133" i="5" s="1"/>
  <c r="G40" i="2"/>
  <c r="G22" i="4" s="1"/>
  <c r="J67" i="4"/>
  <c r="F71" i="5" s="1"/>
  <c r="J91" i="4"/>
  <c r="F95" i="5" s="1"/>
  <c r="J107" i="4"/>
  <c r="F111" i="5" s="1"/>
  <c r="C112" i="5"/>
  <c r="L108" i="4"/>
  <c r="H112" i="5" s="1"/>
  <c r="C168" i="2"/>
  <c r="D130" i="4" s="1"/>
  <c r="L123" i="4"/>
  <c r="H127" i="5" s="1"/>
  <c r="L115" i="4"/>
  <c r="H119" i="5" s="1"/>
  <c r="O4" i="8"/>
  <c r="D4" i="8"/>
  <c r="D104" i="5"/>
  <c r="G126" i="5"/>
  <c r="D126" i="5"/>
  <c r="G117" i="5"/>
  <c r="D117" i="5"/>
  <c r="D107" i="5"/>
  <c r="D96" i="5"/>
  <c r="M111" i="4"/>
  <c r="I115" i="5" s="1"/>
  <c r="G115" i="5"/>
  <c r="M110" i="4"/>
  <c r="I114" i="5" s="1"/>
  <c r="G114" i="5"/>
  <c r="M109" i="4"/>
  <c r="I113" i="5" s="1"/>
  <c r="G113" i="5"/>
  <c r="M108" i="4"/>
  <c r="I112" i="5" s="1"/>
  <c r="G112" i="5"/>
  <c r="M107" i="4"/>
  <c r="I111" i="5" s="1"/>
  <c r="G111" i="5"/>
  <c r="M106" i="4"/>
  <c r="I110" i="5" s="1"/>
  <c r="G110" i="5"/>
  <c r="M105" i="4"/>
  <c r="I109" i="5" s="1"/>
  <c r="G109" i="5"/>
  <c r="M104" i="4"/>
  <c r="I108" i="5" s="1"/>
  <c r="G108" i="5"/>
  <c r="M102" i="4"/>
  <c r="G106" i="5"/>
  <c r="M101" i="4"/>
  <c r="G105" i="5"/>
  <c r="M99" i="4"/>
  <c r="G103" i="5"/>
  <c r="M98" i="4"/>
  <c r="G102" i="5"/>
  <c r="M97" i="4"/>
  <c r="G101" i="5"/>
  <c r="M96" i="4"/>
  <c r="G100" i="5"/>
  <c r="M95" i="4"/>
  <c r="G99" i="5"/>
  <c r="M94" i="4"/>
  <c r="G98" i="5"/>
  <c r="M93" i="4"/>
  <c r="G97" i="5"/>
  <c r="M91" i="4"/>
  <c r="G95" i="5"/>
  <c r="K103" i="4"/>
  <c r="M103" i="4" s="1"/>
  <c r="I107" i="5" s="1"/>
  <c r="M138" i="4"/>
  <c r="I142" i="5" s="1"/>
  <c r="M139" i="4"/>
  <c r="I143" i="5" s="1"/>
  <c r="M133" i="4"/>
  <c r="I137" i="5" s="1"/>
  <c r="M132" i="4"/>
  <c r="I136" i="5" s="1"/>
  <c r="M131" i="4"/>
  <c r="I135" i="5" s="1"/>
  <c r="M126" i="4"/>
  <c r="I130" i="5" s="1"/>
  <c r="M124" i="4"/>
  <c r="I128" i="5" s="1"/>
  <c r="M123" i="4"/>
  <c r="I127" i="5" s="1"/>
  <c r="M121" i="4"/>
  <c r="I125" i="5" s="1"/>
  <c r="M120" i="4"/>
  <c r="I124" i="5" s="1"/>
  <c r="M119" i="4"/>
  <c r="I123" i="5" s="1"/>
  <c r="M118" i="4"/>
  <c r="I122" i="5" s="1"/>
  <c r="M117" i="4"/>
  <c r="I121" i="5" s="1"/>
  <c r="M116" i="4"/>
  <c r="I120" i="5" s="1"/>
  <c r="M115" i="4"/>
  <c r="I119" i="5" s="1"/>
  <c r="M114" i="4"/>
  <c r="I118" i="5" s="1"/>
  <c r="Q194" i="2"/>
  <c r="O194" i="2"/>
  <c r="K143" i="4" s="1"/>
  <c r="G147" i="5" s="1"/>
  <c r="D194" i="2"/>
  <c r="E143" i="4" s="1"/>
  <c r="D147" i="5" s="1"/>
  <c r="D146" i="5" s="1"/>
  <c r="D145" i="5" s="1"/>
  <c r="Q188" i="2"/>
  <c r="O188" i="2"/>
  <c r="K140" i="4" s="1"/>
  <c r="G144" i="5" s="1"/>
  <c r="G143" i="5" s="1"/>
  <c r="D188" i="2"/>
  <c r="E140" i="4" s="1"/>
  <c r="D144" i="5" s="1"/>
  <c r="D143" i="5" s="1"/>
  <c r="Q168" i="2"/>
  <c r="O168" i="2"/>
  <c r="K130" i="4" s="1"/>
  <c r="G134" i="5" s="1"/>
  <c r="D168" i="2"/>
  <c r="E130" i="4" s="1"/>
  <c r="D134" i="5" s="1"/>
  <c r="Q163" i="2"/>
  <c r="O163" i="2"/>
  <c r="K129" i="4" s="1"/>
  <c r="G133" i="5" s="1"/>
  <c r="D163" i="2"/>
  <c r="E129" i="4" s="1"/>
  <c r="D133" i="5" s="1"/>
  <c r="Q52" i="2"/>
  <c r="O52" i="2"/>
  <c r="D52" i="2"/>
  <c r="Q27" i="2"/>
  <c r="O33" i="2"/>
  <c r="O27" i="2"/>
  <c r="D27" i="2"/>
  <c r="Q33" i="2"/>
  <c r="D33" i="2"/>
  <c r="Q46" i="2"/>
  <c r="O46" i="2"/>
  <c r="D46" i="2"/>
  <c r="Q40" i="2"/>
  <c r="O40" i="2"/>
  <c r="K22" i="4" s="1"/>
  <c r="G26" i="5" s="1"/>
  <c r="D40" i="2"/>
  <c r="E22" i="4" s="1"/>
  <c r="D26" i="5" s="1"/>
  <c r="Q161" i="2"/>
  <c r="K128" i="4"/>
  <c r="O161" i="2"/>
  <c r="E128" i="4"/>
  <c r="D161" i="2"/>
  <c r="K142" i="4"/>
  <c r="O192" i="2"/>
  <c r="O9" i="8" s="1"/>
  <c r="E142" i="4"/>
  <c r="E141" i="4" s="1"/>
  <c r="D192" i="2"/>
  <c r="D9" i="8" s="1"/>
  <c r="E112" i="4"/>
  <c r="K112" i="4"/>
  <c r="M113" i="4"/>
  <c r="I117" i="5" s="1"/>
  <c r="AL7" i="11"/>
  <c r="AL8" i="11"/>
  <c r="AL9" i="11"/>
  <c r="AL10" i="11"/>
  <c r="AL6" i="11"/>
  <c r="K200" i="2" l="1"/>
  <c r="L200" i="2" s="1"/>
  <c r="I11" i="8"/>
  <c r="Q8" i="8"/>
  <c r="Q11" i="8" s="1"/>
  <c r="Q200" i="2"/>
  <c r="O8" i="8"/>
  <c r="O200" i="2"/>
  <c r="G8" i="8"/>
  <c r="G200" i="2"/>
  <c r="M8" i="8"/>
  <c r="M200" i="2"/>
  <c r="K8" i="8"/>
  <c r="E8" i="8"/>
  <c r="E11" i="8" s="1"/>
  <c r="E200" i="2"/>
  <c r="D8" i="8"/>
  <c r="D11" i="8" s="1"/>
  <c r="D200" i="2"/>
  <c r="G19" i="1"/>
  <c r="C201" i="2"/>
  <c r="J33" i="2"/>
  <c r="D20" i="4"/>
  <c r="J46" i="2"/>
  <c r="D23" i="4"/>
  <c r="J27" i="2"/>
  <c r="D19" i="4"/>
  <c r="J52" i="2"/>
  <c r="D24" i="4"/>
  <c r="C133" i="5"/>
  <c r="J163" i="2"/>
  <c r="C26" i="5"/>
  <c r="J40" i="2"/>
  <c r="C147" i="5"/>
  <c r="C146" i="5" s="1"/>
  <c r="C145" i="5" s="1"/>
  <c r="J194" i="2"/>
  <c r="C9" i="8"/>
  <c r="N9" i="8" s="1"/>
  <c r="J192" i="2"/>
  <c r="M130" i="4"/>
  <c r="I134" i="5" s="1"/>
  <c r="J168" i="2"/>
  <c r="C8" i="8"/>
  <c r="J161" i="2"/>
  <c r="E116" i="5"/>
  <c r="C116" i="5"/>
  <c r="K116" i="5" s="1"/>
  <c r="J112" i="4"/>
  <c r="J143" i="4"/>
  <c r="F147" i="5" s="1"/>
  <c r="F146" i="5" s="1"/>
  <c r="F145" i="5" s="1"/>
  <c r="J140" i="4"/>
  <c r="F144" i="5" s="1"/>
  <c r="F143" i="5" s="1"/>
  <c r="J129" i="4"/>
  <c r="F133" i="5" s="1"/>
  <c r="L140" i="4"/>
  <c r="H144" i="5" s="1"/>
  <c r="E132" i="5"/>
  <c r="F117" i="5"/>
  <c r="F104" i="5"/>
  <c r="J128" i="4"/>
  <c r="L128" i="4"/>
  <c r="H132" i="5" s="1"/>
  <c r="L112" i="4"/>
  <c r="H116" i="5" s="1"/>
  <c r="F96" i="5"/>
  <c r="J22" i="4"/>
  <c r="F26" i="5" s="1"/>
  <c r="F126" i="5"/>
  <c r="C96" i="5"/>
  <c r="F107" i="5"/>
  <c r="D141" i="4"/>
  <c r="L142" i="4"/>
  <c r="H146" i="5" s="1"/>
  <c r="J130" i="4"/>
  <c r="F134" i="5" s="1"/>
  <c r="C134" i="5"/>
  <c r="L130" i="4"/>
  <c r="H134" i="5" s="1"/>
  <c r="C107" i="5"/>
  <c r="G141" i="4"/>
  <c r="J142" i="4"/>
  <c r="J141" i="4" s="1"/>
  <c r="D132" i="5"/>
  <c r="G132" i="5"/>
  <c r="G104" i="5"/>
  <c r="G107" i="5"/>
  <c r="G96" i="5"/>
  <c r="M142" i="4"/>
  <c r="I146" i="5" s="1"/>
  <c r="K141" i="4"/>
  <c r="G146" i="5"/>
  <c r="G145" i="5" s="1"/>
  <c r="M140" i="4"/>
  <c r="I144" i="5" s="1"/>
  <c r="M128" i="4"/>
  <c r="I132" i="5" s="1"/>
  <c r="AK7" i="11"/>
  <c r="AK8" i="11"/>
  <c r="AK9" i="11"/>
  <c r="AK10" i="11"/>
  <c r="AK6" i="11"/>
  <c r="P8" i="8" l="1"/>
  <c r="N8" i="8"/>
  <c r="P9" i="8"/>
  <c r="H8" i="8"/>
  <c r="H9" i="8"/>
  <c r="L8" i="8"/>
  <c r="L9" i="8"/>
  <c r="K11" i="8"/>
  <c r="M11" i="8"/>
  <c r="K145" i="5"/>
  <c r="G11" i="8"/>
  <c r="F9" i="8"/>
  <c r="F8" i="8"/>
  <c r="C11" i="8"/>
  <c r="R11" i="8" s="1"/>
  <c r="O11" i="8"/>
  <c r="J8" i="8"/>
  <c r="C132" i="5"/>
  <c r="K132" i="5" s="1"/>
  <c r="L129" i="4"/>
  <c r="H133" i="5" s="1"/>
  <c r="M129" i="4"/>
  <c r="I133" i="5" s="1"/>
  <c r="L143" i="4"/>
  <c r="H147" i="5" s="1"/>
  <c r="M143" i="4"/>
  <c r="I147" i="5" s="1"/>
  <c r="F132" i="5"/>
  <c r="F116" i="5"/>
  <c r="L141" i="4"/>
  <c r="H145" i="5" s="1"/>
  <c r="AJ7" i="11" l="1"/>
  <c r="AJ8" i="11"/>
  <c r="AJ9" i="11"/>
  <c r="AJ10" i="11"/>
  <c r="AJ6" i="11"/>
  <c r="AI6" i="11"/>
  <c r="F12" i="11"/>
  <c r="AI7" i="11" l="1"/>
  <c r="AI8" i="11"/>
  <c r="AI9" i="11"/>
  <c r="AI10" i="11"/>
  <c r="AH7" i="11"/>
  <c r="AH8" i="11"/>
  <c r="AH9" i="11"/>
  <c r="AH10" i="11"/>
  <c r="AH6" i="11"/>
  <c r="D12" i="11" l="1"/>
  <c r="AI5" i="11"/>
  <c r="AH5" i="11" l="1"/>
  <c r="C12" i="11" l="1"/>
  <c r="B12" i="11" l="1"/>
  <c r="A1" i="8" l="1"/>
  <c r="A2" i="11" l="1"/>
  <c r="R6" i="8"/>
  <c r="R7" i="8"/>
  <c r="R4" i="8"/>
  <c r="H4" i="8"/>
  <c r="F4" i="8"/>
  <c r="R8" i="8"/>
  <c r="P4" i="8"/>
  <c r="R9" i="8"/>
  <c r="C15" i="9" l="1"/>
  <c r="D14" i="8"/>
  <c r="C14" i="8" s="1"/>
  <c r="B15" i="9"/>
  <c r="P11" i="8"/>
  <c r="H11" i="8"/>
  <c r="L11" i="8"/>
  <c r="N11" i="8"/>
  <c r="J11" i="8"/>
  <c r="F11" i="8"/>
  <c r="D16" i="8"/>
  <c r="C16" i="8" s="1"/>
  <c r="D18" i="8"/>
  <c r="C18" i="8" s="1"/>
  <c r="D22" i="8"/>
  <c r="C22" i="8" s="1"/>
  <c r="D23" i="8"/>
  <c r="C23" i="8" s="1"/>
  <c r="D17" i="8"/>
  <c r="C17" i="8" s="1"/>
  <c r="D21" i="8"/>
  <c r="C21" i="8" s="1"/>
  <c r="D15" i="8"/>
  <c r="C15" i="8" s="1"/>
  <c r="D15" i="9" l="1"/>
  <c r="D19" i="8"/>
  <c r="C19" i="8"/>
  <c r="D5" i="6" l="1"/>
  <c r="C21" i="6" l="1"/>
  <c r="D21" i="6"/>
  <c r="B21" i="6"/>
  <c r="E21" i="6" l="1"/>
  <c r="D20" i="6"/>
  <c r="C20" i="6"/>
  <c r="B20" i="6"/>
  <c r="D19" i="6"/>
  <c r="C19" i="6"/>
  <c r="B19" i="6"/>
  <c r="D18" i="6"/>
  <c r="C18" i="6"/>
  <c r="B18" i="6"/>
  <c r="E19" i="6" l="1"/>
  <c r="E18" i="6"/>
  <c r="E20" i="6"/>
  <c r="D22" i="6" l="1"/>
  <c r="B22" i="6" l="1"/>
  <c r="C22" i="6"/>
  <c r="E22" i="6"/>
  <c r="D7" i="6" l="1"/>
  <c r="D6" i="6"/>
  <c r="D4" i="6"/>
  <c r="L196" i="2" l="1"/>
  <c r="N196" i="2"/>
  <c r="P196" i="2"/>
  <c r="R196" i="2"/>
  <c r="N188" i="2"/>
  <c r="R188" i="2"/>
  <c r="R189" i="2"/>
  <c r="R191" i="2"/>
  <c r="H192" i="2"/>
  <c r="R193" i="2"/>
  <c r="R194" i="2"/>
  <c r="R195" i="2"/>
  <c r="L50" i="2"/>
  <c r="N50" i="2"/>
  <c r="P50" i="2"/>
  <c r="R50" i="2"/>
  <c r="N51" i="2"/>
  <c r="R51" i="2"/>
  <c r="R52" i="2"/>
  <c r="R53" i="2"/>
  <c r="H54" i="2"/>
  <c r="R54" i="2"/>
  <c r="R55" i="2"/>
  <c r="R56" i="2"/>
  <c r="L58" i="2"/>
  <c r="N58" i="2"/>
  <c r="P58" i="2"/>
  <c r="R58" i="2"/>
  <c r="N59" i="2"/>
  <c r="R59" i="2"/>
  <c r="R60" i="2"/>
  <c r="R61" i="2"/>
  <c r="H62" i="2"/>
  <c r="R62" i="2"/>
  <c r="L66" i="2"/>
  <c r="N66" i="2"/>
  <c r="P66" i="2"/>
  <c r="R66" i="2"/>
  <c r="N67" i="2"/>
  <c r="R67" i="2"/>
  <c r="R68" i="2"/>
  <c r="R69" i="2"/>
  <c r="H70" i="2"/>
  <c r="R72" i="2"/>
  <c r="R73" i="2"/>
  <c r="L74" i="2"/>
  <c r="N74" i="2"/>
  <c r="P74" i="2"/>
  <c r="R74" i="2"/>
  <c r="N75" i="2"/>
  <c r="R75" i="2"/>
  <c r="R76" i="2"/>
  <c r="H78" i="2"/>
  <c r="R78" i="2"/>
  <c r="R79" i="2"/>
  <c r="R81" i="2"/>
  <c r="L82" i="2"/>
  <c r="N82" i="2"/>
  <c r="P82" i="2"/>
  <c r="R82" i="2"/>
  <c r="N83" i="2"/>
  <c r="R83" i="2"/>
  <c r="R84" i="2"/>
  <c r="R85" i="2"/>
  <c r="H86" i="2"/>
  <c r="R86" i="2"/>
  <c r="R87" i="2"/>
  <c r="R89" i="2"/>
  <c r="L90" i="2"/>
  <c r="N90" i="2"/>
  <c r="P90" i="2"/>
  <c r="R90" i="2"/>
  <c r="N91" i="2"/>
  <c r="R91" i="2"/>
  <c r="R92" i="2"/>
  <c r="R93" i="2"/>
  <c r="H94" i="2"/>
  <c r="R94" i="2"/>
  <c r="R95" i="2"/>
  <c r="R96" i="2"/>
  <c r="R98" i="2"/>
  <c r="L99" i="2"/>
  <c r="N99" i="2"/>
  <c r="P99" i="2"/>
  <c r="R99" i="2"/>
  <c r="N100" i="2"/>
  <c r="R100" i="2"/>
  <c r="R101" i="2"/>
  <c r="R102" i="2"/>
  <c r="H103" i="2"/>
  <c r="R103" i="2"/>
  <c r="L107" i="2"/>
  <c r="N107" i="2"/>
  <c r="P107" i="2"/>
  <c r="R107" i="2"/>
  <c r="N108" i="2"/>
  <c r="R108" i="2"/>
  <c r="H109" i="2"/>
  <c r="R110" i="2"/>
  <c r="H111" i="2"/>
  <c r="R113" i="2"/>
  <c r="R114" i="2"/>
  <c r="L115" i="2"/>
  <c r="N115" i="2"/>
  <c r="P115" i="2"/>
  <c r="R115" i="2"/>
  <c r="N116" i="2"/>
  <c r="R116" i="2"/>
  <c r="H117" i="2"/>
  <c r="R117" i="2"/>
  <c r="R118" i="2"/>
  <c r="H119" i="2"/>
  <c r="R119" i="2"/>
  <c r="R122" i="2"/>
  <c r="L123" i="2"/>
  <c r="N123" i="2"/>
  <c r="P123" i="2"/>
  <c r="R123" i="2"/>
  <c r="N124" i="2"/>
  <c r="R124" i="2"/>
  <c r="H125" i="2"/>
  <c r="R125" i="2"/>
  <c r="H127" i="2"/>
  <c r="R127" i="2"/>
  <c r="R128" i="2"/>
  <c r="R129" i="2"/>
  <c r="R130" i="2"/>
  <c r="L131" i="2"/>
  <c r="N131" i="2"/>
  <c r="P131" i="2"/>
  <c r="R131" i="2"/>
  <c r="N132" i="2"/>
  <c r="R132" i="2"/>
  <c r="H133" i="2"/>
  <c r="L133" i="2"/>
  <c r="R133" i="2"/>
  <c r="R134" i="2"/>
  <c r="H135" i="2"/>
  <c r="R136" i="2"/>
  <c r="R137" i="2"/>
  <c r="R138" i="2"/>
  <c r="L139" i="2"/>
  <c r="N139" i="2"/>
  <c r="P139" i="2"/>
  <c r="R139" i="2"/>
  <c r="N140" i="2"/>
  <c r="R140" i="2"/>
  <c r="H141" i="2"/>
  <c r="L141" i="2"/>
  <c r="R141" i="2"/>
  <c r="R142" i="2"/>
  <c r="H143" i="2"/>
  <c r="R145" i="2"/>
  <c r="L147" i="2"/>
  <c r="N147" i="2"/>
  <c r="P147" i="2"/>
  <c r="R147" i="2"/>
  <c r="N148" i="2"/>
  <c r="R148" i="2"/>
  <c r="H149" i="2"/>
  <c r="L149" i="2"/>
  <c r="R149" i="2"/>
  <c r="R150" i="2"/>
  <c r="H151" i="2"/>
  <c r="R151" i="2"/>
  <c r="R152" i="2"/>
  <c r="R154" i="2"/>
  <c r="L155" i="2"/>
  <c r="N155" i="2"/>
  <c r="P155" i="2"/>
  <c r="R155" i="2"/>
  <c r="N156" i="2"/>
  <c r="R156" i="2"/>
  <c r="H157" i="2"/>
  <c r="L157" i="2"/>
  <c r="R157" i="2"/>
  <c r="R158" i="2"/>
  <c r="H159" i="2"/>
  <c r="R160" i="2"/>
  <c r="R161" i="2"/>
  <c r="R162" i="2"/>
  <c r="L163" i="2"/>
  <c r="N163" i="2"/>
  <c r="P163" i="2"/>
  <c r="R163" i="2"/>
  <c r="N164" i="2"/>
  <c r="R164" i="2"/>
  <c r="H165" i="2"/>
  <c r="L165" i="2"/>
  <c r="R165" i="2"/>
  <c r="R166" i="2"/>
  <c r="H167" i="2"/>
  <c r="R169" i="2"/>
  <c r="R170" i="2"/>
  <c r="L171" i="2"/>
  <c r="N171" i="2"/>
  <c r="P171" i="2"/>
  <c r="R171" i="2"/>
  <c r="N172" i="2"/>
  <c r="R172" i="2"/>
  <c r="H173" i="2"/>
  <c r="L173" i="2"/>
  <c r="R173" i="2"/>
  <c r="R174" i="2"/>
  <c r="H175" i="2"/>
  <c r="R177" i="2"/>
  <c r="R178" i="2"/>
  <c r="L179" i="2"/>
  <c r="N179" i="2"/>
  <c r="P179" i="2"/>
  <c r="R179" i="2"/>
  <c r="N180" i="2"/>
  <c r="R180" i="2"/>
  <c r="H181" i="2"/>
  <c r="L181" i="2"/>
  <c r="R181" i="2"/>
  <c r="R182" i="2"/>
  <c r="H183" i="2"/>
  <c r="R183" i="2"/>
  <c r="R184" i="2"/>
  <c r="R185" i="2"/>
  <c r="R186" i="2"/>
  <c r="L187" i="2"/>
  <c r="N187" i="2"/>
  <c r="P187" i="2"/>
  <c r="R187" i="2"/>
  <c r="R106" i="2" l="1"/>
  <c r="R57" i="2"/>
  <c r="R112" i="2"/>
  <c r="R126" i="2"/>
  <c r="R146" i="2"/>
  <c r="H182" i="2"/>
  <c r="H174" i="2"/>
  <c r="H69" i="2"/>
  <c r="H61" i="2"/>
  <c r="H53" i="2"/>
  <c r="H191" i="2"/>
  <c r="F182" i="2"/>
  <c r="F174" i="2"/>
  <c r="F166" i="2"/>
  <c r="F158" i="2"/>
  <c r="F150" i="2"/>
  <c r="F142" i="2"/>
  <c r="F134" i="2"/>
  <c r="F126" i="2"/>
  <c r="F118" i="2"/>
  <c r="F110" i="2"/>
  <c r="F102" i="2"/>
  <c r="H101" i="2"/>
  <c r="F93" i="2"/>
  <c r="H92" i="2"/>
  <c r="F85" i="2"/>
  <c r="H84" i="2"/>
  <c r="F77" i="2"/>
  <c r="H76" i="2"/>
  <c r="F69" i="2"/>
  <c r="H68" i="2"/>
  <c r="F61" i="2"/>
  <c r="H60" i="2"/>
  <c r="F53" i="2"/>
  <c r="H52" i="2"/>
  <c r="F191" i="2"/>
  <c r="H189" i="2"/>
  <c r="F181" i="2"/>
  <c r="F173" i="2"/>
  <c r="F165" i="2"/>
  <c r="F157" i="2"/>
  <c r="F149" i="2"/>
  <c r="F141" i="2"/>
  <c r="H75" i="2"/>
  <c r="H67" i="2"/>
  <c r="H59" i="2"/>
  <c r="H51" i="2"/>
  <c r="H188" i="2"/>
  <c r="R77" i="2"/>
  <c r="N77" i="2"/>
  <c r="N69" i="2"/>
  <c r="N61" i="2"/>
  <c r="N53" i="2"/>
  <c r="R109" i="2"/>
  <c r="L61" i="2"/>
  <c r="L191" i="2"/>
  <c r="H166" i="2"/>
  <c r="H77" i="2"/>
  <c r="L188" i="2"/>
  <c r="H180" i="2"/>
  <c r="H164" i="2"/>
  <c r="H148" i="2"/>
  <c r="H140" i="2"/>
  <c r="H116" i="2"/>
  <c r="H91" i="2"/>
  <c r="H172" i="2"/>
  <c r="H156" i="2"/>
  <c r="H132" i="2"/>
  <c r="H124" i="2"/>
  <c r="H108" i="2"/>
  <c r="H100" i="2"/>
  <c r="H83" i="2"/>
  <c r="L69" i="2"/>
  <c r="L53" i="2"/>
  <c r="P188" i="2"/>
  <c r="R104" i="2"/>
  <c r="R80" i="2"/>
  <c r="R143" i="2"/>
  <c r="R120" i="2"/>
  <c r="R71" i="2"/>
  <c r="R135" i="2"/>
  <c r="R64" i="2"/>
  <c r="R88" i="2"/>
  <c r="P85" i="2"/>
  <c r="P77" i="2"/>
  <c r="P69" i="2"/>
  <c r="P61" i="2"/>
  <c r="P53" i="2"/>
  <c r="P191" i="2"/>
  <c r="F196" i="2"/>
  <c r="N191" i="2"/>
  <c r="R153" i="2"/>
  <c r="R176" i="2"/>
  <c r="R144" i="2"/>
  <c r="R63" i="2"/>
  <c r="R167" i="2"/>
  <c r="R111" i="2"/>
  <c r="R105" i="2"/>
  <c r="R159" i="2"/>
  <c r="N93" i="2"/>
  <c r="N85" i="2"/>
  <c r="R65" i="2"/>
  <c r="L174" i="2"/>
  <c r="L166" i="2"/>
  <c r="L93" i="2"/>
  <c r="L85" i="2"/>
  <c r="L77" i="2"/>
  <c r="N186" i="2"/>
  <c r="N154" i="2"/>
  <c r="N114" i="2"/>
  <c r="N106" i="2"/>
  <c r="P169" i="2"/>
  <c r="P161" i="2"/>
  <c r="N146" i="2"/>
  <c r="P137" i="2"/>
  <c r="P129" i="2"/>
  <c r="P121" i="2"/>
  <c r="P113" i="2"/>
  <c r="R121" i="2"/>
  <c r="P185" i="2"/>
  <c r="N178" i="2"/>
  <c r="P153" i="2"/>
  <c r="P145" i="2"/>
  <c r="N138" i="2"/>
  <c r="N130" i="2"/>
  <c r="N122" i="2"/>
  <c r="P105" i="2"/>
  <c r="P177" i="2"/>
  <c r="N170" i="2"/>
  <c r="N162" i="2"/>
  <c r="P96" i="2"/>
  <c r="N89" i="2"/>
  <c r="P88" i="2"/>
  <c r="N81" i="2"/>
  <c r="P72" i="2"/>
  <c r="P64" i="2"/>
  <c r="N57" i="2"/>
  <c r="N195" i="2"/>
  <c r="N113" i="2"/>
  <c r="N105" i="2"/>
  <c r="N64" i="2"/>
  <c r="H179" i="2"/>
  <c r="H171" i="2"/>
  <c r="H163" i="2"/>
  <c r="L161" i="2"/>
  <c r="H155" i="2"/>
  <c r="L153" i="2"/>
  <c r="H147" i="2"/>
  <c r="L145" i="2"/>
  <c r="H139" i="2"/>
  <c r="L137" i="2"/>
  <c r="H131" i="2"/>
  <c r="L129" i="2"/>
  <c r="H123" i="2"/>
  <c r="L121" i="2"/>
  <c r="H115" i="2"/>
  <c r="L113" i="2"/>
  <c r="H107" i="2"/>
  <c r="L105" i="2"/>
  <c r="H99" i="2"/>
  <c r="L96" i="2"/>
  <c r="H90" i="2"/>
  <c r="L88" i="2"/>
  <c r="H82" i="2"/>
  <c r="L80" i="2"/>
  <c r="H74" i="2"/>
  <c r="L72" i="2"/>
  <c r="H66" i="2"/>
  <c r="L64" i="2"/>
  <c r="H58" i="2"/>
  <c r="H50" i="2"/>
  <c r="L194" i="2"/>
  <c r="N98" i="2"/>
  <c r="P80" i="2"/>
  <c r="N73" i="2"/>
  <c r="N65" i="2"/>
  <c r="P56" i="2"/>
  <c r="P194" i="2"/>
  <c r="N185" i="2"/>
  <c r="N177" i="2"/>
  <c r="R175" i="2"/>
  <c r="N153" i="2"/>
  <c r="N96" i="2"/>
  <c r="N88" i="2"/>
  <c r="N80" i="2"/>
  <c r="N72" i="2"/>
  <c r="H187" i="2"/>
  <c r="F187" i="2"/>
  <c r="P182" i="2"/>
  <c r="F179" i="2"/>
  <c r="P174" i="2"/>
  <c r="F171" i="2"/>
  <c r="P166" i="2"/>
  <c r="F163" i="2"/>
  <c r="P158" i="2"/>
  <c r="F155" i="2"/>
  <c r="P150" i="2"/>
  <c r="F147" i="2"/>
  <c r="P142" i="2"/>
  <c r="F139" i="2"/>
  <c r="N135" i="2"/>
  <c r="P134" i="2"/>
  <c r="F131" i="2"/>
  <c r="N127" i="2"/>
  <c r="P126" i="2"/>
  <c r="F123" i="2"/>
  <c r="H122" i="2"/>
  <c r="N119" i="2"/>
  <c r="P118" i="2"/>
  <c r="F115" i="2"/>
  <c r="H114" i="2"/>
  <c r="N111" i="2"/>
  <c r="P110" i="2"/>
  <c r="F107" i="2"/>
  <c r="H106" i="2"/>
  <c r="N103" i="2"/>
  <c r="P102" i="2"/>
  <c r="F99" i="2"/>
  <c r="H98" i="2"/>
  <c r="N94" i="2"/>
  <c r="P93" i="2"/>
  <c r="F90" i="2"/>
  <c r="H89" i="2"/>
  <c r="N86" i="2"/>
  <c r="F82" i="2"/>
  <c r="H81" i="2"/>
  <c r="N78" i="2"/>
  <c r="F74" i="2"/>
  <c r="H73" i="2"/>
  <c r="N70" i="2"/>
  <c r="F66" i="2"/>
  <c r="H65" i="2"/>
  <c r="N62" i="2"/>
  <c r="F58" i="2"/>
  <c r="H57" i="2"/>
  <c r="N54" i="2"/>
  <c r="F50" i="2"/>
  <c r="H195" i="2"/>
  <c r="N192" i="2"/>
  <c r="N169" i="2"/>
  <c r="N161" i="2"/>
  <c r="N145" i="2"/>
  <c r="N137" i="2"/>
  <c r="N129" i="2"/>
  <c r="N121" i="2"/>
  <c r="R70" i="2"/>
  <c r="N56" i="2"/>
  <c r="N194" i="2"/>
  <c r="R192" i="2"/>
  <c r="H185" i="2"/>
  <c r="N182" i="2"/>
  <c r="H177" i="2"/>
  <c r="N174" i="2"/>
  <c r="H169" i="2"/>
  <c r="N166" i="2"/>
  <c r="H161" i="2"/>
  <c r="N158" i="2"/>
  <c r="H153" i="2"/>
  <c r="N150" i="2"/>
  <c r="H145" i="2"/>
  <c r="N142" i="2"/>
  <c r="H137" i="2"/>
  <c r="N134" i="2"/>
  <c r="H129" i="2"/>
  <c r="N126" i="2"/>
  <c r="H121" i="2"/>
  <c r="N118" i="2"/>
  <c r="H113" i="2"/>
  <c r="N110" i="2"/>
  <c r="H105" i="2"/>
  <c r="N102" i="2"/>
  <c r="H96" i="2"/>
  <c r="H88" i="2"/>
  <c r="H80" i="2"/>
  <c r="H72" i="2"/>
  <c r="H64" i="2"/>
  <c r="H56" i="2"/>
  <c r="H194" i="2"/>
  <c r="F161" i="2"/>
  <c r="F153" i="2"/>
  <c r="F145" i="2"/>
  <c r="F137" i="2"/>
  <c r="F129" i="2"/>
  <c r="F121" i="2"/>
  <c r="F113" i="2"/>
  <c r="F105" i="2"/>
  <c r="F96" i="2"/>
  <c r="F88" i="2"/>
  <c r="F64" i="2"/>
  <c r="F194" i="2"/>
  <c r="F184" i="2"/>
  <c r="F176" i="2"/>
  <c r="F168" i="2"/>
  <c r="F160" i="2"/>
  <c r="F152" i="2"/>
  <c r="F144" i="2"/>
  <c r="F136" i="2"/>
  <c r="F128" i="2"/>
  <c r="L125" i="2"/>
  <c r="F120" i="2"/>
  <c r="L117" i="2"/>
  <c r="F112" i="2"/>
  <c r="L109" i="2"/>
  <c r="F104" i="2"/>
  <c r="L101" i="2"/>
  <c r="F95" i="2"/>
  <c r="L92" i="2"/>
  <c r="F87" i="2"/>
  <c r="L84" i="2"/>
  <c r="F79" i="2"/>
  <c r="L76" i="2"/>
  <c r="F71" i="2"/>
  <c r="L68" i="2"/>
  <c r="F63" i="2"/>
  <c r="L60" i="2"/>
  <c r="F55" i="2"/>
  <c r="L52" i="2"/>
  <c r="F193" i="2"/>
  <c r="L189" i="2"/>
  <c r="P186" i="2"/>
  <c r="F183" i="2"/>
  <c r="L180" i="2"/>
  <c r="P178" i="2"/>
  <c r="F175" i="2"/>
  <c r="L172" i="2"/>
  <c r="P170" i="2"/>
  <c r="F167" i="2"/>
  <c r="L164" i="2"/>
  <c r="P162" i="2"/>
  <c r="F159" i="2"/>
  <c r="H158" i="2"/>
  <c r="L156" i="2"/>
  <c r="P154" i="2"/>
  <c r="F151" i="2"/>
  <c r="H150" i="2"/>
  <c r="L148" i="2"/>
  <c r="P146" i="2"/>
  <c r="F143" i="2"/>
  <c r="H142" i="2"/>
  <c r="L140" i="2"/>
  <c r="P138" i="2"/>
  <c r="F135" i="2"/>
  <c r="H134" i="2"/>
  <c r="L132" i="2"/>
  <c r="P130" i="2"/>
  <c r="F127" i="2"/>
  <c r="H126" i="2"/>
  <c r="L124" i="2"/>
  <c r="P122" i="2"/>
  <c r="F119" i="2"/>
  <c r="H118" i="2"/>
  <c r="L116" i="2"/>
  <c r="P114" i="2"/>
  <c r="F111" i="2"/>
  <c r="H110" i="2"/>
  <c r="L108" i="2"/>
  <c r="P106" i="2"/>
  <c r="F103" i="2"/>
  <c r="H102" i="2"/>
  <c r="L100" i="2"/>
  <c r="P98" i="2"/>
  <c r="F94" i="2"/>
  <c r="H93" i="2"/>
  <c r="L91" i="2"/>
  <c r="P89" i="2"/>
  <c r="F86" i="2"/>
  <c r="H85" i="2"/>
  <c r="L83" i="2"/>
  <c r="P81" i="2"/>
  <c r="F78" i="2"/>
  <c r="L75" i="2"/>
  <c r="P73" i="2"/>
  <c r="F70" i="2"/>
  <c r="L67" i="2"/>
  <c r="P65" i="2"/>
  <c r="F62" i="2"/>
  <c r="L59" i="2"/>
  <c r="P57" i="2"/>
  <c r="F54" i="2"/>
  <c r="L51" i="2"/>
  <c r="P195" i="2"/>
  <c r="F192" i="2"/>
  <c r="P184" i="2"/>
  <c r="P176" i="2"/>
  <c r="P168" i="2"/>
  <c r="L154" i="2"/>
  <c r="P152" i="2"/>
  <c r="L146" i="2"/>
  <c r="P144" i="2"/>
  <c r="L138" i="2"/>
  <c r="P136" i="2"/>
  <c r="F133" i="2"/>
  <c r="L130" i="2"/>
  <c r="P128" i="2"/>
  <c r="F125" i="2"/>
  <c r="L122" i="2"/>
  <c r="P120" i="2"/>
  <c r="F117" i="2"/>
  <c r="L114" i="2"/>
  <c r="P112" i="2"/>
  <c r="F109" i="2"/>
  <c r="L106" i="2"/>
  <c r="P104" i="2"/>
  <c r="F101" i="2"/>
  <c r="L98" i="2"/>
  <c r="P95" i="2"/>
  <c r="F92" i="2"/>
  <c r="L89" i="2"/>
  <c r="P87" i="2"/>
  <c r="F84" i="2"/>
  <c r="L81" i="2"/>
  <c r="P79" i="2"/>
  <c r="F76" i="2"/>
  <c r="L73" i="2"/>
  <c r="P71" i="2"/>
  <c r="F68" i="2"/>
  <c r="L65" i="2"/>
  <c r="P63" i="2"/>
  <c r="F60" i="2"/>
  <c r="L57" i="2"/>
  <c r="P55" i="2"/>
  <c r="F52" i="2"/>
  <c r="L195" i="2"/>
  <c r="P193" i="2"/>
  <c r="F189" i="2"/>
  <c r="L185" i="2"/>
  <c r="N184" i="2"/>
  <c r="P183" i="2"/>
  <c r="F180" i="2"/>
  <c r="L177" i="2"/>
  <c r="N176" i="2"/>
  <c r="P175" i="2"/>
  <c r="F172" i="2"/>
  <c r="L169" i="2"/>
  <c r="N168" i="2"/>
  <c r="P167" i="2"/>
  <c r="F164" i="2"/>
  <c r="N160" i="2"/>
  <c r="P159" i="2"/>
  <c r="F156" i="2"/>
  <c r="N152" i="2"/>
  <c r="P151" i="2"/>
  <c r="F148" i="2"/>
  <c r="N144" i="2"/>
  <c r="P143" i="2"/>
  <c r="F140" i="2"/>
  <c r="N136" i="2"/>
  <c r="P135" i="2"/>
  <c r="F132" i="2"/>
  <c r="N128" i="2"/>
  <c r="P127" i="2"/>
  <c r="F124" i="2"/>
  <c r="N120" i="2"/>
  <c r="P119" i="2"/>
  <c r="F116" i="2"/>
  <c r="N112" i="2"/>
  <c r="P111" i="2"/>
  <c r="F108" i="2"/>
  <c r="N104" i="2"/>
  <c r="P103" i="2"/>
  <c r="F100" i="2"/>
  <c r="N95" i="2"/>
  <c r="P94" i="2"/>
  <c r="F91" i="2"/>
  <c r="N87" i="2"/>
  <c r="P86" i="2"/>
  <c r="F83" i="2"/>
  <c r="N79" i="2"/>
  <c r="P78" i="2"/>
  <c r="F75" i="2"/>
  <c r="N71" i="2"/>
  <c r="P70" i="2"/>
  <c r="F67" i="2"/>
  <c r="N63" i="2"/>
  <c r="P62" i="2"/>
  <c r="F59" i="2"/>
  <c r="L56" i="2"/>
  <c r="N55" i="2"/>
  <c r="P54" i="2"/>
  <c r="F51" i="2"/>
  <c r="N193" i="2"/>
  <c r="P192" i="2"/>
  <c r="F188" i="2"/>
  <c r="H196" i="2"/>
  <c r="L186" i="2"/>
  <c r="L184" i="2"/>
  <c r="N175" i="2"/>
  <c r="H170" i="2"/>
  <c r="L168" i="2"/>
  <c r="H162" i="2"/>
  <c r="L160" i="2"/>
  <c r="N151" i="2"/>
  <c r="H146" i="2"/>
  <c r="L144" i="2"/>
  <c r="H138" i="2"/>
  <c r="L136" i="2"/>
  <c r="L128" i="2"/>
  <c r="L120" i="2"/>
  <c r="L112" i="2"/>
  <c r="L95" i="2"/>
  <c r="L79" i="2"/>
  <c r="L71" i="2"/>
  <c r="L63" i="2"/>
  <c r="L55" i="2"/>
  <c r="F186" i="2"/>
  <c r="L175" i="2"/>
  <c r="P173" i="2"/>
  <c r="F170" i="2"/>
  <c r="L167" i="2"/>
  <c r="P165" i="2"/>
  <c r="F162" i="2"/>
  <c r="F138" i="2"/>
  <c r="L127" i="2"/>
  <c r="P125" i="2"/>
  <c r="L119" i="2"/>
  <c r="P117" i="2"/>
  <c r="F114" i="2"/>
  <c r="P109" i="2"/>
  <c r="F106" i="2"/>
  <c r="P101" i="2"/>
  <c r="F98" i="2"/>
  <c r="L94" i="2"/>
  <c r="P92" i="2"/>
  <c r="F89" i="2"/>
  <c r="L86" i="2"/>
  <c r="P84" i="2"/>
  <c r="F81" i="2"/>
  <c r="L78" i="2"/>
  <c r="P76" i="2"/>
  <c r="F73" i="2"/>
  <c r="L70" i="2"/>
  <c r="P68" i="2"/>
  <c r="F65" i="2"/>
  <c r="L62" i="2"/>
  <c r="P60" i="2"/>
  <c r="F57" i="2"/>
  <c r="L54" i="2"/>
  <c r="P52" i="2"/>
  <c r="F195" i="2"/>
  <c r="L192" i="2"/>
  <c r="P189" i="2"/>
  <c r="R168" i="2"/>
  <c r="L178" i="2"/>
  <c r="L170" i="2"/>
  <c r="L162" i="2"/>
  <c r="P160" i="2"/>
  <c r="H186" i="2"/>
  <c r="N183" i="2"/>
  <c r="H178" i="2"/>
  <c r="L176" i="2"/>
  <c r="N167" i="2"/>
  <c r="N159" i="2"/>
  <c r="H154" i="2"/>
  <c r="L152" i="2"/>
  <c r="N143" i="2"/>
  <c r="H130" i="2"/>
  <c r="L104" i="2"/>
  <c r="L87" i="2"/>
  <c r="L193" i="2"/>
  <c r="L183" i="2"/>
  <c r="P181" i="2"/>
  <c r="F178" i="2"/>
  <c r="L159" i="2"/>
  <c r="P157" i="2"/>
  <c r="F154" i="2"/>
  <c r="L151" i="2"/>
  <c r="P149" i="2"/>
  <c r="F146" i="2"/>
  <c r="L143" i="2"/>
  <c r="P141" i="2"/>
  <c r="L135" i="2"/>
  <c r="P133" i="2"/>
  <c r="F130" i="2"/>
  <c r="F122" i="2"/>
  <c r="L111" i="2"/>
  <c r="L103" i="2"/>
  <c r="F185" i="2"/>
  <c r="H184" i="2"/>
  <c r="L182" i="2"/>
  <c r="N181" i="2"/>
  <c r="P180" i="2"/>
  <c r="F177" i="2"/>
  <c r="H176" i="2"/>
  <c r="N173" i="2"/>
  <c r="P172" i="2"/>
  <c r="F169" i="2"/>
  <c r="H168" i="2"/>
  <c r="N165" i="2"/>
  <c r="P164" i="2"/>
  <c r="H160" i="2"/>
  <c r="L158" i="2"/>
  <c r="N157" i="2"/>
  <c r="P156" i="2"/>
  <c r="H152" i="2"/>
  <c r="L150" i="2"/>
  <c r="N149" i="2"/>
  <c r="P148" i="2"/>
  <c r="H144" i="2"/>
  <c r="L142" i="2"/>
  <c r="N141" i="2"/>
  <c r="P140" i="2"/>
  <c r="H136" i="2"/>
  <c r="L134" i="2"/>
  <c r="N133" i="2"/>
  <c r="P132" i="2"/>
  <c r="H128" i="2"/>
  <c r="L126" i="2"/>
  <c r="N125" i="2"/>
  <c r="P124" i="2"/>
  <c r="H120" i="2"/>
  <c r="L118" i="2"/>
  <c r="N117" i="2"/>
  <c r="P116" i="2"/>
  <c r="H112" i="2"/>
  <c r="L110" i="2"/>
  <c r="N109" i="2"/>
  <c r="P108" i="2"/>
  <c r="H104" i="2"/>
  <c r="L102" i="2"/>
  <c r="N101" i="2"/>
  <c r="P100" i="2"/>
  <c r="H95" i="2"/>
  <c r="N92" i="2"/>
  <c r="P91" i="2"/>
  <c r="H87" i="2"/>
  <c r="N84" i="2"/>
  <c r="P83" i="2"/>
  <c r="F80" i="2"/>
  <c r="H79" i="2"/>
  <c r="N76" i="2"/>
  <c r="P75" i="2"/>
  <c r="F72" i="2"/>
  <c r="H71" i="2"/>
  <c r="N68" i="2"/>
  <c r="P67" i="2"/>
  <c r="H63" i="2"/>
  <c r="N60" i="2"/>
  <c r="P59" i="2"/>
  <c r="F56" i="2"/>
  <c r="H55" i="2"/>
  <c r="N52" i="2"/>
  <c r="P51" i="2"/>
  <c r="H193" i="2"/>
  <c r="N189" i="2"/>
  <c r="D201" i="2"/>
  <c r="J200" i="2" l="1"/>
  <c r="F45" i="2"/>
  <c r="F37" i="2"/>
  <c r="F29" i="2"/>
  <c r="F21" i="2"/>
  <c r="F13" i="2"/>
  <c r="F49" i="2"/>
  <c r="F33" i="2"/>
  <c r="F41" i="2"/>
  <c r="F17" i="2"/>
  <c r="F25" i="2"/>
  <c r="H40" i="2"/>
  <c r="L40" i="2"/>
  <c r="N40" i="2"/>
  <c r="P40" i="2"/>
  <c r="R40" i="2"/>
  <c r="H31" i="2"/>
  <c r="H23" i="2"/>
  <c r="H15" i="2"/>
  <c r="L47" i="2"/>
  <c r="L39" i="2"/>
  <c r="L31" i="2"/>
  <c r="L23" i="2"/>
  <c r="L15" i="2"/>
  <c r="N47" i="2"/>
  <c r="N39" i="2"/>
  <c r="N31" i="2"/>
  <c r="N23" i="2"/>
  <c r="N15" i="2"/>
  <c r="P47" i="2"/>
  <c r="P39" i="2"/>
  <c r="P31" i="2"/>
  <c r="P23" i="2"/>
  <c r="P15" i="2"/>
  <c r="R47" i="2"/>
  <c r="R39" i="2"/>
  <c r="R31" i="2"/>
  <c r="R23" i="2"/>
  <c r="R15" i="2"/>
  <c r="F48" i="2"/>
  <c r="F44" i="2"/>
  <c r="F40" i="2"/>
  <c r="F36" i="2"/>
  <c r="F32" i="2"/>
  <c r="F28" i="2"/>
  <c r="F24" i="2"/>
  <c r="F20" i="2"/>
  <c r="F16" i="2"/>
  <c r="F12" i="2"/>
  <c r="H46" i="2"/>
  <c r="H38" i="2"/>
  <c r="H30" i="2"/>
  <c r="H22" i="2"/>
  <c r="H14" i="2"/>
  <c r="L46" i="2"/>
  <c r="L38" i="2"/>
  <c r="L30" i="2"/>
  <c r="L22" i="2"/>
  <c r="L14" i="2"/>
  <c r="N46" i="2"/>
  <c r="N38" i="2"/>
  <c r="N30" i="2"/>
  <c r="N22" i="2"/>
  <c r="N14" i="2"/>
  <c r="P46" i="2"/>
  <c r="P38" i="2"/>
  <c r="P30" i="2"/>
  <c r="P22" i="2"/>
  <c r="P14" i="2"/>
  <c r="R46" i="2"/>
  <c r="R38" i="2"/>
  <c r="R30" i="2"/>
  <c r="R22" i="2"/>
  <c r="R14" i="2"/>
  <c r="H32" i="2"/>
  <c r="L16" i="2"/>
  <c r="N32" i="2"/>
  <c r="P48" i="2"/>
  <c r="P24" i="2"/>
  <c r="R16" i="2"/>
  <c r="H47" i="2"/>
  <c r="H45" i="2"/>
  <c r="H21" i="2"/>
  <c r="H13" i="2"/>
  <c r="L45" i="2"/>
  <c r="L37" i="2"/>
  <c r="L29" i="2"/>
  <c r="L21" i="2"/>
  <c r="L13" i="2"/>
  <c r="N45" i="2"/>
  <c r="N37" i="2"/>
  <c r="N29" i="2"/>
  <c r="N21" i="2"/>
  <c r="N13" i="2"/>
  <c r="P45" i="2"/>
  <c r="P37" i="2"/>
  <c r="P29" i="2"/>
  <c r="P21" i="2"/>
  <c r="P13" i="2"/>
  <c r="R45" i="2"/>
  <c r="R37" i="2"/>
  <c r="R29" i="2"/>
  <c r="R21" i="2"/>
  <c r="R13" i="2"/>
  <c r="F47" i="2"/>
  <c r="F43" i="2"/>
  <c r="F39" i="2"/>
  <c r="F35" i="2"/>
  <c r="F31" i="2"/>
  <c r="F27" i="2"/>
  <c r="F23" i="2"/>
  <c r="F19" i="2"/>
  <c r="F15" i="2"/>
  <c r="F11" i="2"/>
  <c r="H44" i="2"/>
  <c r="H36" i="2"/>
  <c r="H28" i="2"/>
  <c r="H20" i="2"/>
  <c r="H12" i="2"/>
  <c r="L44" i="2"/>
  <c r="L36" i="2"/>
  <c r="L28" i="2"/>
  <c r="L20" i="2"/>
  <c r="L12" i="2"/>
  <c r="N44" i="2"/>
  <c r="N36" i="2"/>
  <c r="N28" i="2"/>
  <c r="N20" i="2"/>
  <c r="N12" i="2"/>
  <c r="P44" i="2"/>
  <c r="P36" i="2"/>
  <c r="P28" i="2"/>
  <c r="P20" i="2"/>
  <c r="P12" i="2"/>
  <c r="R44" i="2"/>
  <c r="R36" i="2"/>
  <c r="R28" i="2"/>
  <c r="R20" i="2"/>
  <c r="R12" i="2"/>
  <c r="H16" i="2"/>
  <c r="L48" i="2"/>
  <c r="L24" i="2"/>
  <c r="N16" i="2"/>
  <c r="P32" i="2"/>
  <c r="R48" i="2"/>
  <c r="R24" i="2"/>
  <c r="H39" i="2"/>
  <c r="H37" i="2"/>
  <c r="H35" i="2"/>
  <c r="H19" i="2"/>
  <c r="L35" i="2"/>
  <c r="L19" i="2"/>
  <c r="N43" i="2"/>
  <c r="N27" i="2"/>
  <c r="N11" i="2"/>
  <c r="P35" i="2"/>
  <c r="P19" i="2"/>
  <c r="R43" i="2"/>
  <c r="R35" i="2"/>
  <c r="R19" i="2"/>
  <c r="F46" i="2"/>
  <c r="F42" i="2"/>
  <c r="F38" i="2"/>
  <c r="F34" i="2"/>
  <c r="F30" i="2"/>
  <c r="F26" i="2"/>
  <c r="F22" i="2"/>
  <c r="F18" i="2"/>
  <c r="F14" i="2"/>
  <c r="H10" i="2"/>
  <c r="H42" i="2"/>
  <c r="H34" i="2"/>
  <c r="H26" i="2"/>
  <c r="H18" i="2"/>
  <c r="L10" i="2"/>
  <c r="L42" i="2"/>
  <c r="L34" i="2"/>
  <c r="L26" i="2"/>
  <c r="L18" i="2"/>
  <c r="N10" i="2"/>
  <c r="N42" i="2"/>
  <c r="N34" i="2"/>
  <c r="N26" i="2"/>
  <c r="N18" i="2"/>
  <c r="P10" i="2"/>
  <c r="P42" i="2"/>
  <c r="P34" i="2"/>
  <c r="P26" i="2"/>
  <c r="P18" i="2"/>
  <c r="R10" i="2"/>
  <c r="R42" i="2"/>
  <c r="R34" i="2"/>
  <c r="R26" i="2"/>
  <c r="R18" i="2"/>
  <c r="H48" i="2"/>
  <c r="H24" i="2"/>
  <c r="L32" i="2"/>
  <c r="N48" i="2"/>
  <c r="N24" i="2"/>
  <c r="P16" i="2"/>
  <c r="R32" i="2"/>
  <c r="H29" i="2"/>
  <c r="H43" i="2"/>
  <c r="H27" i="2"/>
  <c r="H11" i="2"/>
  <c r="L43" i="2"/>
  <c r="L27" i="2"/>
  <c r="L11" i="2"/>
  <c r="N35" i="2"/>
  <c r="N19" i="2"/>
  <c r="P43" i="2"/>
  <c r="P27" i="2"/>
  <c r="P11" i="2"/>
  <c r="R27" i="2"/>
  <c r="R11" i="2"/>
  <c r="F10" i="2"/>
  <c r="H49" i="2"/>
  <c r="H41" i="2"/>
  <c r="H33" i="2"/>
  <c r="H25" i="2"/>
  <c r="H17" i="2"/>
  <c r="L49" i="2"/>
  <c r="L41" i="2"/>
  <c r="L33" i="2"/>
  <c r="L25" i="2"/>
  <c r="L17" i="2"/>
  <c r="N49" i="2"/>
  <c r="N41" i="2"/>
  <c r="N33" i="2"/>
  <c r="N25" i="2"/>
  <c r="N17" i="2"/>
  <c r="P49" i="2"/>
  <c r="P41" i="2"/>
  <c r="P33" i="2"/>
  <c r="P25" i="2"/>
  <c r="P17" i="2"/>
  <c r="R49" i="2"/>
  <c r="R41" i="2"/>
  <c r="R33" i="2"/>
  <c r="R25" i="2"/>
  <c r="R17" i="2"/>
  <c r="K201" i="2"/>
  <c r="Q201" i="2"/>
  <c r="G201" i="2"/>
  <c r="M201" i="2"/>
  <c r="O201" i="2"/>
  <c r="E201" i="2"/>
  <c r="E12" i="8"/>
  <c r="D12" i="8"/>
  <c r="B23" i="6"/>
  <c r="C23" i="6"/>
  <c r="N200" i="2" l="1"/>
  <c r="F200" i="2"/>
  <c r="H200" i="2"/>
  <c r="R200" i="2"/>
  <c r="N12" i="8"/>
  <c r="F12" i="8"/>
  <c r="H12" i="8"/>
  <c r="P12" i="8"/>
  <c r="P200" i="2"/>
  <c r="R12" i="8"/>
  <c r="J12" i="8"/>
  <c r="L12" i="8"/>
  <c r="E23" i="6"/>
  <c r="F22" i="6"/>
  <c r="F19" i="6"/>
  <c r="F21" i="6"/>
  <c r="F20" i="6"/>
  <c r="D23" i="6"/>
  <c r="F18" i="6"/>
  <c r="E4" i="4"/>
  <c r="F4" i="4"/>
  <c r="G4" i="4"/>
  <c r="H4" i="4"/>
  <c r="I4" i="4"/>
  <c r="E5" i="4"/>
  <c r="D9" i="5" s="1"/>
  <c r="F5" i="4"/>
  <c r="E9" i="5" s="1"/>
  <c r="H5" i="4"/>
  <c r="I5" i="4"/>
  <c r="C10" i="5"/>
  <c r="E6" i="4"/>
  <c r="D10" i="5" s="1"/>
  <c r="F6" i="4"/>
  <c r="E10" i="5" s="1"/>
  <c r="G6" i="4"/>
  <c r="H6" i="4"/>
  <c r="I6" i="4"/>
  <c r="C11" i="5"/>
  <c r="E7" i="4"/>
  <c r="D11" i="5" s="1"/>
  <c r="F7" i="4"/>
  <c r="E11" i="5" s="1"/>
  <c r="G7" i="4"/>
  <c r="H7" i="4"/>
  <c r="I7" i="4"/>
  <c r="F8" i="4"/>
  <c r="G8" i="4"/>
  <c r="H8" i="4"/>
  <c r="I8" i="4"/>
  <c r="C13" i="5"/>
  <c r="E9" i="4"/>
  <c r="D13" i="5" s="1"/>
  <c r="F9" i="4"/>
  <c r="E13" i="5" s="1"/>
  <c r="G9" i="4"/>
  <c r="H9" i="4"/>
  <c r="I9" i="4"/>
  <c r="C14" i="5"/>
  <c r="E10" i="4"/>
  <c r="D14" i="5" s="1"/>
  <c r="F10" i="4"/>
  <c r="E14" i="5" s="1"/>
  <c r="G10" i="4"/>
  <c r="H10" i="4"/>
  <c r="I10" i="4"/>
  <c r="C15" i="5"/>
  <c r="E11" i="4"/>
  <c r="D15" i="5" s="1"/>
  <c r="F11" i="4"/>
  <c r="E15" i="5" s="1"/>
  <c r="G11" i="4"/>
  <c r="H11" i="4"/>
  <c r="I11" i="4"/>
  <c r="E12" i="4"/>
  <c r="F12" i="4"/>
  <c r="G12" i="4"/>
  <c r="H12" i="4"/>
  <c r="I12" i="4"/>
  <c r="C17" i="5"/>
  <c r="E13" i="4"/>
  <c r="D17" i="5" s="1"/>
  <c r="F13" i="4"/>
  <c r="E17" i="5" s="1"/>
  <c r="G13" i="4"/>
  <c r="H13" i="4"/>
  <c r="I13" i="4"/>
  <c r="C18" i="5"/>
  <c r="E14" i="4"/>
  <c r="D18" i="5" s="1"/>
  <c r="F14" i="4"/>
  <c r="E18" i="5" s="1"/>
  <c r="G14" i="4"/>
  <c r="H14" i="4"/>
  <c r="I14" i="4"/>
  <c r="C19" i="5"/>
  <c r="E15" i="4"/>
  <c r="D19" i="5" s="1"/>
  <c r="F15" i="4"/>
  <c r="E19" i="5" s="1"/>
  <c r="G15" i="4"/>
  <c r="H15" i="4"/>
  <c r="I15" i="4"/>
  <c r="C20" i="5"/>
  <c r="E16" i="4"/>
  <c r="D20" i="5" s="1"/>
  <c r="F16" i="4"/>
  <c r="E20" i="5" s="1"/>
  <c r="G16" i="4"/>
  <c r="H16" i="4"/>
  <c r="I16" i="4"/>
  <c r="C21" i="5"/>
  <c r="E17" i="4"/>
  <c r="D21" i="5" s="1"/>
  <c r="F17" i="4"/>
  <c r="E21" i="5" s="1"/>
  <c r="G17" i="4"/>
  <c r="H17" i="4"/>
  <c r="I17" i="4"/>
  <c r="E18" i="4"/>
  <c r="F18" i="4"/>
  <c r="G18" i="4"/>
  <c r="H18" i="4"/>
  <c r="I18" i="4"/>
  <c r="C23" i="5"/>
  <c r="E19" i="4"/>
  <c r="D23" i="5" s="1"/>
  <c r="F19" i="4"/>
  <c r="E23" i="5" s="1"/>
  <c r="G19" i="4"/>
  <c r="H19" i="4"/>
  <c r="I19" i="4"/>
  <c r="C24" i="5"/>
  <c r="E20" i="4"/>
  <c r="D24" i="5" s="1"/>
  <c r="F20" i="4"/>
  <c r="E24" i="5" s="1"/>
  <c r="G20" i="4"/>
  <c r="H20" i="4"/>
  <c r="I20" i="4"/>
  <c r="E21" i="4"/>
  <c r="F21" i="4"/>
  <c r="G21" i="4"/>
  <c r="H21" i="4"/>
  <c r="I21" i="4"/>
  <c r="C27" i="5"/>
  <c r="E23" i="4"/>
  <c r="D27" i="5" s="1"/>
  <c r="F23" i="4"/>
  <c r="E27" i="5" s="1"/>
  <c r="G23" i="4"/>
  <c r="H23" i="4"/>
  <c r="I23" i="4"/>
  <c r="C28" i="5"/>
  <c r="E24" i="4"/>
  <c r="D28" i="5" s="1"/>
  <c r="F24" i="4"/>
  <c r="E28" i="5" s="1"/>
  <c r="G24" i="4"/>
  <c r="H24" i="4"/>
  <c r="I24" i="4"/>
  <c r="C29" i="5"/>
  <c r="E25" i="4"/>
  <c r="D29" i="5" s="1"/>
  <c r="F25" i="4"/>
  <c r="E29" i="5" s="1"/>
  <c r="G25" i="4"/>
  <c r="H25" i="4"/>
  <c r="I25" i="4"/>
  <c r="E26" i="4"/>
  <c r="F26" i="4"/>
  <c r="G26" i="4"/>
  <c r="H26" i="4"/>
  <c r="I26" i="4"/>
  <c r="C31" i="5"/>
  <c r="E27" i="4"/>
  <c r="D31" i="5" s="1"/>
  <c r="D30" i="5" s="1"/>
  <c r="F27" i="4"/>
  <c r="E31" i="5" s="1"/>
  <c r="E30" i="5" s="1"/>
  <c r="G27" i="4"/>
  <c r="H27" i="4"/>
  <c r="I27" i="4"/>
  <c r="E29" i="4"/>
  <c r="F29" i="4"/>
  <c r="G29" i="4"/>
  <c r="H29" i="4"/>
  <c r="I29" i="4"/>
  <c r="C34" i="5"/>
  <c r="E30" i="4"/>
  <c r="D34" i="5" s="1"/>
  <c r="F30" i="4"/>
  <c r="E34" i="5" s="1"/>
  <c r="G30" i="4"/>
  <c r="H30" i="4"/>
  <c r="I30" i="4"/>
  <c r="C35" i="5"/>
  <c r="E31" i="4"/>
  <c r="D35" i="5" s="1"/>
  <c r="F31" i="4"/>
  <c r="E35" i="5" s="1"/>
  <c r="G31" i="4"/>
  <c r="H31" i="4"/>
  <c r="I31" i="4"/>
  <c r="C36" i="5"/>
  <c r="E32" i="4"/>
  <c r="D36" i="5" s="1"/>
  <c r="F32" i="4"/>
  <c r="E36" i="5" s="1"/>
  <c r="G32" i="4"/>
  <c r="H32" i="4"/>
  <c r="I32" i="4"/>
  <c r="C37" i="5"/>
  <c r="E33" i="4"/>
  <c r="D37" i="5" s="1"/>
  <c r="F33" i="4"/>
  <c r="E37" i="5" s="1"/>
  <c r="G33" i="4"/>
  <c r="H33" i="4"/>
  <c r="I33" i="4"/>
  <c r="C38" i="5"/>
  <c r="E34" i="4"/>
  <c r="D38" i="5" s="1"/>
  <c r="F34" i="4"/>
  <c r="E38" i="5" s="1"/>
  <c r="G34" i="4"/>
  <c r="H34" i="4"/>
  <c r="I34" i="4"/>
  <c r="E35" i="4"/>
  <c r="F35" i="4"/>
  <c r="G35" i="4"/>
  <c r="H35" i="4"/>
  <c r="I35" i="4"/>
  <c r="C40" i="5"/>
  <c r="E36" i="4"/>
  <c r="D40" i="5" s="1"/>
  <c r="F36" i="4"/>
  <c r="E40" i="5" s="1"/>
  <c r="G36" i="4"/>
  <c r="H36" i="4"/>
  <c r="I36" i="4"/>
  <c r="C41" i="5"/>
  <c r="E37" i="4"/>
  <c r="D41" i="5" s="1"/>
  <c r="F37" i="4"/>
  <c r="E41" i="5" s="1"/>
  <c r="G37" i="4"/>
  <c r="H37" i="4"/>
  <c r="I37" i="4"/>
  <c r="C42" i="5"/>
  <c r="E38" i="4"/>
  <c r="D42" i="5" s="1"/>
  <c r="F38" i="4"/>
  <c r="E42" i="5" s="1"/>
  <c r="G38" i="4"/>
  <c r="H38" i="4"/>
  <c r="I38" i="4"/>
  <c r="E39" i="4"/>
  <c r="D43" i="5" s="1"/>
  <c r="F39" i="4"/>
  <c r="E43" i="5" s="1"/>
  <c r="G39" i="4"/>
  <c r="H39" i="4"/>
  <c r="I39" i="4"/>
  <c r="C44" i="5"/>
  <c r="E40" i="4"/>
  <c r="D44" i="5" s="1"/>
  <c r="F40" i="4"/>
  <c r="E44" i="5" s="1"/>
  <c r="G40" i="4"/>
  <c r="H40" i="4"/>
  <c r="I40" i="4"/>
  <c r="E41" i="4"/>
  <c r="F41" i="4"/>
  <c r="G41" i="4"/>
  <c r="H41" i="4"/>
  <c r="I41" i="4"/>
  <c r="C46" i="5"/>
  <c r="E42" i="4"/>
  <c r="D46" i="5" s="1"/>
  <c r="F42" i="4"/>
  <c r="E46" i="5" s="1"/>
  <c r="G42" i="4"/>
  <c r="H42" i="4"/>
  <c r="I42" i="4"/>
  <c r="E43" i="4"/>
  <c r="D47" i="5" s="1"/>
  <c r="F43" i="4"/>
  <c r="E47" i="5" s="1"/>
  <c r="G43" i="4"/>
  <c r="H43" i="4"/>
  <c r="I43" i="4"/>
  <c r="C48" i="5"/>
  <c r="E44" i="4"/>
  <c r="D48" i="5" s="1"/>
  <c r="F44" i="4"/>
  <c r="E48" i="5" s="1"/>
  <c r="G44" i="4"/>
  <c r="H44" i="4"/>
  <c r="I44" i="4"/>
  <c r="C49" i="5"/>
  <c r="E45" i="4"/>
  <c r="D49" i="5" s="1"/>
  <c r="F45" i="4"/>
  <c r="E49" i="5" s="1"/>
  <c r="G45" i="4"/>
  <c r="H45" i="4"/>
  <c r="I45" i="4"/>
  <c r="C50" i="5"/>
  <c r="E46" i="4"/>
  <c r="D50" i="5" s="1"/>
  <c r="F46" i="4"/>
  <c r="E50" i="5" s="1"/>
  <c r="G46" i="4"/>
  <c r="H46" i="4"/>
  <c r="I46" i="4"/>
  <c r="E47" i="4"/>
  <c r="D51" i="5" s="1"/>
  <c r="F47" i="4"/>
  <c r="E51" i="5" s="1"/>
  <c r="G47" i="4"/>
  <c r="H47" i="4"/>
  <c r="I47" i="4"/>
  <c r="E48" i="4"/>
  <c r="F48" i="4"/>
  <c r="G48" i="4"/>
  <c r="H48" i="4"/>
  <c r="I48" i="4"/>
  <c r="C53" i="5"/>
  <c r="E49" i="4"/>
  <c r="D53" i="5" s="1"/>
  <c r="F49" i="4"/>
  <c r="E53" i="5" s="1"/>
  <c r="G49" i="4"/>
  <c r="H49" i="4"/>
  <c r="I49" i="4"/>
  <c r="C54" i="5"/>
  <c r="E50" i="4"/>
  <c r="D54" i="5" s="1"/>
  <c r="F50" i="4"/>
  <c r="E54" i="5" s="1"/>
  <c r="G50" i="4"/>
  <c r="H50" i="4"/>
  <c r="I50" i="4"/>
  <c r="E51" i="4"/>
  <c r="D55" i="5" s="1"/>
  <c r="F51" i="4"/>
  <c r="E55" i="5" s="1"/>
  <c r="G51" i="4"/>
  <c r="H51" i="4"/>
  <c r="I51" i="4"/>
  <c r="C56" i="5"/>
  <c r="E52" i="4"/>
  <c r="D56" i="5" s="1"/>
  <c r="F52" i="4"/>
  <c r="E56" i="5" s="1"/>
  <c r="G52" i="4"/>
  <c r="H52" i="4"/>
  <c r="I52" i="4"/>
  <c r="C57" i="5"/>
  <c r="E53" i="4"/>
  <c r="D57" i="5" s="1"/>
  <c r="F53" i="4"/>
  <c r="E57" i="5" s="1"/>
  <c r="G53" i="4"/>
  <c r="H53" i="4"/>
  <c r="I53" i="4"/>
  <c r="C58" i="5"/>
  <c r="E54" i="4"/>
  <c r="D58" i="5" s="1"/>
  <c r="F54" i="4"/>
  <c r="E58" i="5" s="1"/>
  <c r="G54" i="4"/>
  <c r="H54" i="4"/>
  <c r="I54" i="4"/>
  <c r="E55" i="4"/>
  <c r="D59" i="5" s="1"/>
  <c r="F55" i="4"/>
  <c r="E59" i="5" s="1"/>
  <c r="G55" i="4"/>
  <c r="H55" i="4"/>
  <c r="I55" i="4"/>
  <c r="E56" i="4"/>
  <c r="F56" i="4"/>
  <c r="G56" i="4"/>
  <c r="H56" i="4"/>
  <c r="I56" i="4"/>
  <c r="C61" i="5"/>
  <c r="E57" i="4"/>
  <c r="D61" i="5" s="1"/>
  <c r="F57" i="4"/>
  <c r="E61" i="5" s="1"/>
  <c r="G57" i="4"/>
  <c r="H57" i="4"/>
  <c r="I57" i="4"/>
  <c r="C62" i="5"/>
  <c r="E58" i="4"/>
  <c r="D62" i="5" s="1"/>
  <c r="F58" i="4"/>
  <c r="E62" i="5" s="1"/>
  <c r="G58" i="4"/>
  <c r="H58" i="4"/>
  <c r="I58" i="4"/>
  <c r="C63" i="5"/>
  <c r="E59" i="4"/>
  <c r="D63" i="5" s="1"/>
  <c r="F59" i="4"/>
  <c r="E63" i="5" s="1"/>
  <c r="G59" i="4"/>
  <c r="H59" i="4"/>
  <c r="I59" i="4"/>
  <c r="C64" i="5"/>
  <c r="E60" i="4"/>
  <c r="D64" i="5" s="1"/>
  <c r="F60" i="4"/>
  <c r="E64" i="5" s="1"/>
  <c r="G60" i="4"/>
  <c r="H60" i="4"/>
  <c r="I60" i="4"/>
  <c r="E61" i="4"/>
  <c r="F61" i="4"/>
  <c r="G61" i="4"/>
  <c r="H61" i="4"/>
  <c r="I61" i="4"/>
  <c r="C66" i="5"/>
  <c r="E62" i="4"/>
  <c r="F62" i="4"/>
  <c r="E66" i="5" s="1"/>
  <c r="E65" i="5" s="1"/>
  <c r="G62" i="4"/>
  <c r="H62" i="4"/>
  <c r="I62" i="4"/>
  <c r="E64" i="4"/>
  <c r="F64" i="4"/>
  <c r="G64" i="4"/>
  <c r="H64" i="4"/>
  <c r="I64" i="4"/>
  <c r="C69" i="5"/>
  <c r="E65" i="4"/>
  <c r="D69" i="5" s="1"/>
  <c r="D68" i="5" s="1"/>
  <c r="F65" i="4"/>
  <c r="E69" i="5" s="1"/>
  <c r="E68" i="5" s="1"/>
  <c r="G65" i="4"/>
  <c r="H65" i="4"/>
  <c r="I65" i="4"/>
  <c r="E68" i="4"/>
  <c r="F68" i="4"/>
  <c r="G68" i="4"/>
  <c r="H68" i="4"/>
  <c r="I68" i="4"/>
  <c r="C73" i="5"/>
  <c r="E69" i="4"/>
  <c r="D73" i="5" s="1"/>
  <c r="F69" i="4"/>
  <c r="E73" i="5" s="1"/>
  <c r="G69" i="4"/>
  <c r="H69" i="4"/>
  <c r="I69" i="4"/>
  <c r="C74" i="5"/>
  <c r="E70" i="4"/>
  <c r="D74" i="5" s="1"/>
  <c r="F70" i="4"/>
  <c r="E74" i="5" s="1"/>
  <c r="G70" i="4"/>
  <c r="H70" i="4"/>
  <c r="I70" i="4"/>
  <c r="C75" i="5"/>
  <c r="E71" i="4"/>
  <c r="D75" i="5" s="1"/>
  <c r="F71" i="4"/>
  <c r="E75" i="5" s="1"/>
  <c r="G71" i="4"/>
  <c r="H71" i="4"/>
  <c r="I71" i="4"/>
  <c r="C76" i="5"/>
  <c r="E72" i="4"/>
  <c r="D76" i="5" s="1"/>
  <c r="F72" i="4"/>
  <c r="E76" i="5" s="1"/>
  <c r="G72" i="4"/>
  <c r="H72" i="4"/>
  <c r="I72" i="4"/>
  <c r="C77" i="5"/>
  <c r="E73" i="4"/>
  <c r="D77" i="5" s="1"/>
  <c r="F73" i="4"/>
  <c r="E77" i="5" s="1"/>
  <c r="G73" i="4"/>
  <c r="H73" i="4"/>
  <c r="I73" i="4"/>
  <c r="C78" i="5"/>
  <c r="E74" i="4"/>
  <c r="D78" i="5" s="1"/>
  <c r="F74" i="4"/>
  <c r="E78" i="5" s="1"/>
  <c r="G74" i="4"/>
  <c r="H74" i="4"/>
  <c r="I74" i="4"/>
  <c r="C79" i="5"/>
  <c r="E75" i="4"/>
  <c r="D79" i="5" s="1"/>
  <c r="F75" i="4"/>
  <c r="E79" i="5" s="1"/>
  <c r="G75" i="4"/>
  <c r="H75" i="4"/>
  <c r="I75" i="4"/>
  <c r="E76" i="4"/>
  <c r="F76" i="4"/>
  <c r="G76" i="4"/>
  <c r="H76" i="4"/>
  <c r="I76" i="4"/>
  <c r="C81" i="5"/>
  <c r="C80" i="5" s="1"/>
  <c r="E77" i="4"/>
  <c r="F77" i="4"/>
  <c r="E81" i="5" s="1"/>
  <c r="E80" i="5" s="1"/>
  <c r="G77" i="4"/>
  <c r="H77" i="4"/>
  <c r="I77" i="4"/>
  <c r="E78" i="4"/>
  <c r="F78" i="4"/>
  <c r="G78" i="4"/>
  <c r="H78" i="4"/>
  <c r="I78" i="4"/>
  <c r="C83" i="5"/>
  <c r="E79" i="4"/>
  <c r="D83" i="5" s="1"/>
  <c r="F79" i="4"/>
  <c r="E83" i="5" s="1"/>
  <c r="G79" i="4"/>
  <c r="H79" i="4"/>
  <c r="I79" i="4"/>
  <c r="C84" i="5"/>
  <c r="E80" i="4"/>
  <c r="D84" i="5" s="1"/>
  <c r="F80" i="4"/>
  <c r="E84" i="5" s="1"/>
  <c r="G80" i="4"/>
  <c r="H80" i="4"/>
  <c r="I80" i="4"/>
  <c r="C85" i="5"/>
  <c r="E81" i="4"/>
  <c r="D85" i="5" s="1"/>
  <c r="F81" i="4"/>
  <c r="E85" i="5" s="1"/>
  <c r="G81" i="4"/>
  <c r="H81" i="4"/>
  <c r="I81" i="4"/>
  <c r="E83" i="4"/>
  <c r="F83" i="4"/>
  <c r="G83" i="4"/>
  <c r="H83" i="4"/>
  <c r="I83" i="4"/>
  <c r="C88" i="5"/>
  <c r="E84" i="4"/>
  <c r="D88" i="5" s="1"/>
  <c r="F84" i="4"/>
  <c r="E88" i="5" s="1"/>
  <c r="G84" i="4"/>
  <c r="H84" i="4"/>
  <c r="I84" i="4"/>
  <c r="C89" i="5"/>
  <c r="E85" i="4"/>
  <c r="D89" i="5" s="1"/>
  <c r="F85" i="4"/>
  <c r="E89" i="5" s="1"/>
  <c r="G85" i="4"/>
  <c r="H85" i="4"/>
  <c r="I85" i="4"/>
  <c r="C90" i="5"/>
  <c r="E86" i="4"/>
  <c r="D90" i="5" s="1"/>
  <c r="F86" i="4"/>
  <c r="E90" i="5" s="1"/>
  <c r="G86" i="4"/>
  <c r="H86" i="4"/>
  <c r="I86" i="4"/>
  <c r="C91" i="5"/>
  <c r="E87" i="4"/>
  <c r="D91" i="5" s="1"/>
  <c r="F87" i="4"/>
  <c r="E91" i="5" s="1"/>
  <c r="G87" i="4"/>
  <c r="H87" i="4"/>
  <c r="I87" i="4"/>
  <c r="C92" i="5"/>
  <c r="E88" i="4"/>
  <c r="D92" i="5" s="1"/>
  <c r="F88" i="4"/>
  <c r="E92" i="5" s="1"/>
  <c r="G88" i="4"/>
  <c r="H88" i="4"/>
  <c r="I88" i="4"/>
  <c r="E89" i="4"/>
  <c r="F89" i="4"/>
  <c r="G89" i="4"/>
  <c r="H89" i="4"/>
  <c r="I89" i="4"/>
  <c r="C94" i="5"/>
  <c r="E90" i="4"/>
  <c r="D94" i="5" s="1"/>
  <c r="D93" i="5" s="1"/>
  <c r="F90" i="4"/>
  <c r="E94" i="5" s="1"/>
  <c r="E93" i="5" s="1"/>
  <c r="G90" i="4"/>
  <c r="H90" i="4"/>
  <c r="I90" i="4"/>
  <c r="C138" i="5"/>
  <c r="E134" i="4"/>
  <c r="D138" i="5" s="1"/>
  <c r="F134" i="4"/>
  <c r="E138" i="5" s="1"/>
  <c r="G134" i="4"/>
  <c r="H134" i="4"/>
  <c r="I134" i="4"/>
  <c r="C139" i="5"/>
  <c r="E135" i="4"/>
  <c r="D139" i="5" s="1"/>
  <c r="F135" i="4"/>
  <c r="E139" i="5" s="1"/>
  <c r="G135" i="4"/>
  <c r="H135" i="4"/>
  <c r="I135" i="4"/>
  <c r="E136" i="4"/>
  <c r="F136" i="4"/>
  <c r="G136" i="4"/>
  <c r="H136" i="4"/>
  <c r="H127" i="4" s="1"/>
  <c r="I136" i="4"/>
  <c r="I127" i="4" s="1"/>
  <c r="C141" i="5"/>
  <c r="C140" i="5" s="1"/>
  <c r="K140" i="5" s="1"/>
  <c r="E137" i="4"/>
  <c r="D141" i="5" s="1"/>
  <c r="D140" i="5" s="1"/>
  <c r="F137" i="4"/>
  <c r="E141" i="5" s="1"/>
  <c r="E140" i="5" s="1"/>
  <c r="G137" i="4"/>
  <c r="H137" i="4"/>
  <c r="I137" i="4"/>
  <c r="G8" i="1"/>
  <c r="G9" i="1"/>
  <c r="G10" i="1"/>
  <c r="G11" i="1"/>
  <c r="G22" i="1" s="1"/>
  <c r="G12" i="1"/>
  <c r="F8" i="1"/>
  <c r="H8" i="1"/>
  <c r="F9" i="1"/>
  <c r="H9" i="1"/>
  <c r="F10" i="1"/>
  <c r="H10" i="1"/>
  <c r="F11" i="1"/>
  <c r="H11" i="1"/>
  <c r="F12" i="1"/>
  <c r="H12" i="1"/>
  <c r="H7" i="1"/>
  <c r="F7" i="1"/>
  <c r="E8" i="1"/>
  <c r="E9" i="1"/>
  <c r="E10" i="1"/>
  <c r="E11" i="1"/>
  <c r="E22" i="1" s="1"/>
  <c r="E12" i="1"/>
  <c r="E7" i="1"/>
  <c r="D8" i="1"/>
  <c r="D9" i="1"/>
  <c r="D10" i="1"/>
  <c r="D11" i="1"/>
  <c r="D12" i="1"/>
  <c r="D7" i="1"/>
  <c r="C8" i="1"/>
  <c r="C9" i="1"/>
  <c r="B6" i="6" s="1"/>
  <c r="C10" i="1"/>
  <c r="B7" i="6" s="1"/>
  <c r="C11" i="1"/>
  <c r="C12" i="1"/>
  <c r="C7" i="1"/>
  <c r="L12" i="1"/>
  <c r="L23" i="1" s="1"/>
  <c r="K90" i="4"/>
  <c r="G94" i="5" s="1"/>
  <c r="G93" i="5" s="1"/>
  <c r="K88" i="4"/>
  <c r="G92" i="5" s="1"/>
  <c r="K77" i="4"/>
  <c r="G81" i="5" s="1"/>
  <c r="G80" i="5" s="1"/>
  <c r="L9" i="1"/>
  <c r="K64" i="4"/>
  <c r="F14" i="1" l="1"/>
  <c r="F15" i="1" s="1"/>
  <c r="G14" i="1"/>
  <c r="H14" i="1"/>
  <c r="E19" i="1"/>
  <c r="E14" i="1"/>
  <c r="E15" i="1" s="1"/>
  <c r="D14" i="1"/>
  <c r="D15" i="1" s="1"/>
  <c r="C14" i="1"/>
  <c r="J7" i="1"/>
  <c r="J12" i="1"/>
  <c r="K12" i="1" s="1"/>
  <c r="F22" i="1"/>
  <c r="J11" i="1"/>
  <c r="K11" i="1" s="1"/>
  <c r="J9" i="1"/>
  <c r="K9" i="1" s="1"/>
  <c r="J8" i="1"/>
  <c r="J10" i="1"/>
  <c r="K10" i="1" s="1"/>
  <c r="C65" i="5"/>
  <c r="K65" i="5" s="1"/>
  <c r="I7" i="1"/>
  <c r="M7" i="1"/>
  <c r="I8" i="1"/>
  <c r="I9" i="1"/>
  <c r="H19" i="1"/>
  <c r="H23" i="1"/>
  <c r="I12" i="1"/>
  <c r="H22" i="1"/>
  <c r="I11" i="1"/>
  <c r="H21" i="1"/>
  <c r="I10" i="1"/>
  <c r="J4" i="4"/>
  <c r="E12" i="5"/>
  <c r="E8" i="5"/>
  <c r="J90" i="4"/>
  <c r="F94" i="5" s="1"/>
  <c r="F93" i="5" s="1"/>
  <c r="J86" i="4"/>
  <c r="F90" i="5" s="1"/>
  <c r="I82" i="4"/>
  <c r="J81" i="4"/>
  <c r="F85" i="5" s="1"/>
  <c r="J77" i="4"/>
  <c r="F81" i="5" s="1"/>
  <c r="F80" i="5" s="1"/>
  <c r="J73" i="4"/>
  <c r="F77" i="5" s="1"/>
  <c r="J69" i="4"/>
  <c r="F73" i="5" s="1"/>
  <c r="J20" i="4"/>
  <c r="F24" i="5" s="1"/>
  <c r="C60" i="5"/>
  <c r="K60" i="5" s="1"/>
  <c r="C137" i="5"/>
  <c r="E45" i="5"/>
  <c r="E137" i="5"/>
  <c r="E131" i="5" s="1"/>
  <c r="E33" i="5"/>
  <c r="J134" i="4"/>
  <c r="F138" i="5" s="1"/>
  <c r="E82" i="5"/>
  <c r="C87" i="5"/>
  <c r="C82" i="5"/>
  <c r="E60" i="5"/>
  <c r="E52" i="5"/>
  <c r="E22" i="5"/>
  <c r="J16" i="4"/>
  <c r="F20" i="5" s="1"/>
  <c r="J12" i="4"/>
  <c r="J8" i="4"/>
  <c r="C33" i="5"/>
  <c r="K33" i="5" s="1"/>
  <c r="E16" i="5"/>
  <c r="C72" i="5"/>
  <c r="J65" i="4"/>
  <c r="F69" i="5" s="1"/>
  <c r="F68" i="5" s="1"/>
  <c r="J60" i="4"/>
  <c r="F64" i="5" s="1"/>
  <c r="J56" i="4"/>
  <c r="J52" i="4"/>
  <c r="F56" i="5" s="1"/>
  <c r="J48" i="4"/>
  <c r="J44" i="4"/>
  <c r="F48" i="5" s="1"/>
  <c r="J40" i="4"/>
  <c r="F44" i="5" s="1"/>
  <c r="J36" i="4"/>
  <c r="F40" i="5" s="1"/>
  <c r="J32" i="4"/>
  <c r="F36" i="5" s="1"/>
  <c r="J27" i="4"/>
  <c r="F31" i="5" s="1"/>
  <c r="F30" i="5" s="1"/>
  <c r="J23" i="4"/>
  <c r="F27" i="5" s="1"/>
  <c r="D82" i="4"/>
  <c r="L55" i="4"/>
  <c r="H59" i="5" s="1"/>
  <c r="C59" i="5"/>
  <c r="L51" i="4"/>
  <c r="H55" i="5" s="1"/>
  <c r="C55" i="5"/>
  <c r="L47" i="4"/>
  <c r="H51" i="5" s="1"/>
  <c r="C51" i="5"/>
  <c r="L43" i="4"/>
  <c r="H47" i="5" s="1"/>
  <c r="C47" i="5"/>
  <c r="L39" i="4"/>
  <c r="H43" i="5" s="1"/>
  <c r="C43" i="5"/>
  <c r="C39" i="5" s="1"/>
  <c r="K39" i="5" s="1"/>
  <c r="E39" i="5"/>
  <c r="L35" i="4"/>
  <c r="H39" i="5" s="1"/>
  <c r="E25" i="5"/>
  <c r="E72" i="5"/>
  <c r="E87" i="5"/>
  <c r="L64" i="4"/>
  <c r="H68" i="5" s="1"/>
  <c r="D137" i="5"/>
  <c r="D131" i="5" s="1"/>
  <c r="D82" i="5"/>
  <c r="D60" i="5"/>
  <c r="D87" i="5"/>
  <c r="D72" i="5"/>
  <c r="D52" i="5"/>
  <c r="D22" i="5"/>
  <c r="D45" i="5"/>
  <c r="D39" i="5"/>
  <c r="D33" i="5"/>
  <c r="D25" i="5"/>
  <c r="D16" i="5"/>
  <c r="D12" i="5"/>
  <c r="D8" i="5"/>
  <c r="D81" i="5"/>
  <c r="D80" i="5" s="1"/>
  <c r="D66" i="5"/>
  <c r="D65" i="5" s="1"/>
  <c r="D116" i="5"/>
  <c r="J53" i="4"/>
  <c r="F57" i="5" s="1"/>
  <c r="J41" i="4"/>
  <c r="J29" i="4"/>
  <c r="J17" i="4"/>
  <c r="F21" i="5" s="1"/>
  <c r="J83" i="4"/>
  <c r="J74" i="4"/>
  <c r="F78" i="5" s="1"/>
  <c r="J54" i="4"/>
  <c r="F58" i="5" s="1"/>
  <c r="J42" i="4"/>
  <c r="F46" i="5" s="1"/>
  <c r="J30" i="4"/>
  <c r="F34" i="5" s="1"/>
  <c r="J25" i="4"/>
  <c r="F29" i="5" s="1"/>
  <c r="J14" i="4"/>
  <c r="F18" i="5" s="1"/>
  <c r="J10" i="4"/>
  <c r="F14" i="5" s="1"/>
  <c r="J6" i="4"/>
  <c r="F10" i="5" s="1"/>
  <c r="J88" i="4"/>
  <c r="F92" i="5" s="1"/>
  <c r="J84" i="4"/>
  <c r="F88" i="5" s="1"/>
  <c r="J79" i="4"/>
  <c r="F83" i="5" s="1"/>
  <c r="J75" i="4"/>
  <c r="F79" i="5" s="1"/>
  <c r="J71" i="4"/>
  <c r="F75" i="5" s="1"/>
  <c r="J18" i="4"/>
  <c r="J135" i="4"/>
  <c r="F139" i="5" s="1"/>
  <c r="J61" i="4"/>
  <c r="J45" i="4"/>
  <c r="F49" i="5" s="1"/>
  <c r="J33" i="4"/>
  <c r="F37" i="5" s="1"/>
  <c r="J9" i="4"/>
  <c r="F13" i="5" s="1"/>
  <c r="J87" i="4"/>
  <c r="F91" i="5" s="1"/>
  <c r="J70" i="4"/>
  <c r="F74" i="5" s="1"/>
  <c r="J62" i="4"/>
  <c r="F66" i="5" s="1"/>
  <c r="F65" i="5" s="1"/>
  <c r="J46" i="4"/>
  <c r="F50" i="5" s="1"/>
  <c r="J34" i="4"/>
  <c r="F38" i="5" s="1"/>
  <c r="J64" i="4"/>
  <c r="J59" i="4"/>
  <c r="F63" i="5" s="1"/>
  <c r="J55" i="4"/>
  <c r="F59" i="5" s="1"/>
  <c r="J51" i="4"/>
  <c r="F55" i="5" s="1"/>
  <c r="J47" i="4"/>
  <c r="F51" i="5" s="1"/>
  <c r="J43" i="4"/>
  <c r="F47" i="5" s="1"/>
  <c r="J39" i="4"/>
  <c r="F43" i="5" s="1"/>
  <c r="J35" i="4"/>
  <c r="J31" i="4"/>
  <c r="F35" i="5" s="1"/>
  <c r="J26" i="4"/>
  <c r="J15" i="4"/>
  <c r="F19" i="5" s="1"/>
  <c r="J11" i="4"/>
  <c r="F15" i="5" s="1"/>
  <c r="J7" i="4"/>
  <c r="F11" i="5" s="1"/>
  <c r="J57" i="4"/>
  <c r="F61" i="5" s="1"/>
  <c r="J49" i="4"/>
  <c r="F53" i="5" s="1"/>
  <c r="J37" i="4"/>
  <c r="F41" i="5" s="1"/>
  <c r="J24" i="4"/>
  <c r="F28" i="5" s="1"/>
  <c r="J13" i="4"/>
  <c r="F17" i="5" s="1"/>
  <c r="J78" i="4"/>
  <c r="J21" i="4"/>
  <c r="J58" i="4"/>
  <c r="F62" i="5" s="1"/>
  <c r="J50" i="4"/>
  <c r="F54" i="5" s="1"/>
  <c r="J38" i="4"/>
  <c r="F42" i="5" s="1"/>
  <c r="J137" i="4"/>
  <c r="F141" i="5" s="1"/>
  <c r="F140" i="5" s="1"/>
  <c r="J89" i="4"/>
  <c r="J85" i="4"/>
  <c r="F89" i="5" s="1"/>
  <c r="J80" i="4"/>
  <c r="F84" i="5" s="1"/>
  <c r="J76" i="4"/>
  <c r="J72" i="4"/>
  <c r="F76" i="5" s="1"/>
  <c r="J68" i="4"/>
  <c r="J19" i="4"/>
  <c r="F23" i="5" s="1"/>
  <c r="G127" i="4"/>
  <c r="J136" i="4"/>
  <c r="J127" i="4" s="1"/>
  <c r="C30" i="5"/>
  <c r="L7" i="4"/>
  <c r="H11" i="5" s="1"/>
  <c r="L31" i="4"/>
  <c r="H35" i="5" s="1"/>
  <c r="L11" i="4"/>
  <c r="H15" i="5" s="1"/>
  <c r="J5" i="4"/>
  <c r="F9" i="5" s="1"/>
  <c r="L72" i="4"/>
  <c r="H76" i="5" s="1"/>
  <c r="H28" i="4"/>
  <c r="L89" i="4"/>
  <c r="H93" i="5" s="1"/>
  <c r="H82" i="4"/>
  <c r="L80" i="4"/>
  <c r="H84" i="5" s="1"/>
  <c r="L76" i="4"/>
  <c r="H80" i="5" s="1"/>
  <c r="L68" i="4"/>
  <c r="H72" i="5" s="1"/>
  <c r="H97" i="5"/>
  <c r="G82" i="4"/>
  <c r="L8" i="4"/>
  <c r="H12" i="5" s="1"/>
  <c r="H3" i="4"/>
  <c r="L134" i="4"/>
  <c r="H138" i="5" s="1"/>
  <c r="L65" i="4"/>
  <c r="H69" i="5" s="1"/>
  <c r="L60" i="4"/>
  <c r="H64" i="5" s="1"/>
  <c r="L56" i="4"/>
  <c r="H60" i="5" s="1"/>
  <c r="L52" i="4"/>
  <c r="H56" i="5" s="1"/>
  <c r="L48" i="4"/>
  <c r="H52" i="5" s="1"/>
  <c r="L36" i="4"/>
  <c r="H40" i="5" s="1"/>
  <c r="L23" i="4"/>
  <c r="H27" i="5" s="1"/>
  <c r="L16" i="4"/>
  <c r="H20" i="5" s="1"/>
  <c r="I3" i="4"/>
  <c r="L18" i="4"/>
  <c r="H22" i="5" s="1"/>
  <c r="I28" i="4"/>
  <c r="G28" i="4"/>
  <c r="L90" i="4"/>
  <c r="H94" i="5" s="1"/>
  <c r="L81" i="4"/>
  <c r="H85" i="5" s="1"/>
  <c r="L77" i="4"/>
  <c r="H81" i="5" s="1"/>
  <c r="L73" i="4"/>
  <c r="H77" i="5" s="1"/>
  <c r="L87" i="4"/>
  <c r="H91" i="5" s="1"/>
  <c r="L78" i="4"/>
  <c r="H82" i="5" s="1"/>
  <c r="L70" i="4"/>
  <c r="H74" i="5" s="1"/>
  <c r="L21" i="4"/>
  <c r="H25" i="5" s="1"/>
  <c r="L135" i="4"/>
  <c r="H139" i="5" s="1"/>
  <c r="H98" i="5"/>
  <c r="L53" i="4"/>
  <c r="H57" i="5" s="1"/>
  <c r="L45" i="4"/>
  <c r="H49" i="5" s="1"/>
  <c r="L41" i="4"/>
  <c r="H45" i="5" s="1"/>
  <c r="L37" i="4"/>
  <c r="H41" i="5" s="1"/>
  <c r="L24" i="4"/>
  <c r="H28" i="5" s="1"/>
  <c r="H129" i="5"/>
  <c r="H99" i="5"/>
  <c r="L62" i="4"/>
  <c r="H66" i="5" s="1"/>
  <c r="L54" i="4"/>
  <c r="H58" i="5" s="1"/>
  <c r="L50" i="4"/>
  <c r="H54" i="5" s="1"/>
  <c r="L42" i="4"/>
  <c r="H46" i="5" s="1"/>
  <c r="L10" i="4"/>
  <c r="H14" i="5" s="1"/>
  <c r="L88" i="4"/>
  <c r="H92" i="5" s="1"/>
  <c r="L84" i="4"/>
  <c r="H88" i="5" s="1"/>
  <c r="L79" i="4"/>
  <c r="H83" i="5" s="1"/>
  <c r="L75" i="4"/>
  <c r="H79" i="5" s="1"/>
  <c r="L71" i="4"/>
  <c r="H75" i="5" s="1"/>
  <c r="L67" i="4"/>
  <c r="H71" i="5" s="1"/>
  <c r="G3" i="4"/>
  <c r="F3" i="4"/>
  <c r="F82" i="4"/>
  <c r="F28" i="4"/>
  <c r="F127" i="4"/>
  <c r="L26" i="4"/>
  <c r="H30" i="5" s="1"/>
  <c r="L86" i="4"/>
  <c r="H90" i="5" s="1"/>
  <c r="L19" i="4"/>
  <c r="H23" i="5" s="1"/>
  <c r="L15" i="4"/>
  <c r="H19" i="5" s="1"/>
  <c r="L40" i="4"/>
  <c r="H44" i="5" s="1"/>
  <c r="L27" i="4"/>
  <c r="H31" i="5" s="1"/>
  <c r="D3" i="4"/>
  <c r="L4" i="4"/>
  <c r="H8" i="5" s="1"/>
  <c r="L61" i="4"/>
  <c r="H65" i="5" s="1"/>
  <c r="L49" i="4"/>
  <c r="H53" i="5" s="1"/>
  <c r="L33" i="4"/>
  <c r="H37" i="5" s="1"/>
  <c r="L29" i="4"/>
  <c r="H33" i="5" s="1"/>
  <c r="D28" i="4"/>
  <c r="L20" i="4"/>
  <c r="H24" i="5" s="1"/>
  <c r="L136" i="4"/>
  <c r="D127" i="4"/>
  <c r="L74" i="4"/>
  <c r="H78" i="5" s="1"/>
  <c r="L17" i="4"/>
  <c r="H21" i="5" s="1"/>
  <c r="L13" i="4"/>
  <c r="H17" i="5" s="1"/>
  <c r="L9" i="4"/>
  <c r="H13" i="5" s="1"/>
  <c r="L5" i="4"/>
  <c r="H9" i="5" s="1"/>
  <c r="L32" i="4"/>
  <c r="H36" i="5" s="1"/>
  <c r="L69" i="4"/>
  <c r="H73" i="5" s="1"/>
  <c r="L12" i="4"/>
  <c r="H16" i="5" s="1"/>
  <c r="L58" i="4"/>
  <c r="H62" i="5" s="1"/>
  <c r="L34" i="4"/>
  <c r="H38" i="5" s="1"/>
  <c r="M90" i="4"/>
  <c r="I94" i="5" s="1"/>
  <c r="L137" i="4"/>
  <c r="H141" i="5" s="1"/>
  <c r="L25" i="4"/>
  <c r="H29" i="5" s="1"/>
  <c r="L14" i="4"/>
  <c r="H18" i="5" s="1"/>
  <c r="L6" i="4"/>
  <c r="H10" i="5" s="1"/>
  <c r="H101" i="5"/>
  <c r="L44" i="4"/>
  <c r="H48" i="5" s="1"/>
  <c r="H102" i="5"/>
  <c r="L83" i="4"/>
  <c r="H87" i="5" s="1"/>
  <c r="L57" i="4"/>
  <c r="H61" i="5" s="1"/>
  <c r="L46" i="4"/>
  <c r="H50" i="5" s="1"/>
  <c r="L38" i="4"/>
  <c r="H42" i="5" s="1"/>
  <c r="L30" i="4"/>
  <c r="H34" i="5" s="1"/>
  <c r="L85" i="4"/>
  <c r="H89" i="5" s="1"/>
  <c r="L59" i="4"/>
  <c r="H63" i="5" s="1"/>
  <c r="E82" i="4"/>
  <c r="D86" i="5" s="1"/>
  <c r="E28" i="4"/>
  <c r="E127" i="4"/>
  <c r="E3" i="4"/>
  <c r="M88" i="4"/>
  <c r="I92" i="5" s="1"/>
  <c r="M64" i="4"/>
  <c r="I68" i="5" s="1"/>
  <c r="M77" i="4"/>
  <c r="I81" i="5" s="1"/>
  <c r="B4" i="6"/>
  <c r="C19" i="1"/>
  <c r="B8" i="6"/>
  <c r="C22" i="1"/>
  <c r="F19" i="1"/>
  <c r="D22" i="1"/>
  <c r="D19" i="1"/>
  <c r="G21" i="1"/>
  <c r="F21" i="1"/>
  <c r="J21" i="1" s="1"/>
  <c r="F23" i="1"/>
  <c r="G23" i="1"/>
  <c r="K135" i="4"/>
  <c r="G139" i="5" s="1"/>
  <c r="K72" i="4"/>
  <c r="G76" i="5" s="1"/>
  <c r="K48" i="4"/>
  <c r="K20" i="4"/>
  <c r="G24" i="5" s="1"/>
  <c r="K46" i="4"/>
  <c r="G50" i="5" s="1"/>
  <c r="K85" i="4"/>
  <c r="G89" i="5" s="1"/>
  <c r="K134" i="4"/>
  <c r="G138" i="5" s="1"/>
  <c r="L11" i="1"/>
  <c r="L22" i="1" s="1"/>
  <c r="K61" i="4"/>
  <c r="K83" i="4"/>
  <c r="K54" i="4"/>
  <c r="G58" i="5" s="1"/>
  <c r="K56" i="4"/>
  <c r="K58" i="4"/>
  <c r="G62" i="5" s="1"/>
  <c r="K60" i="4"/>
  <c r="G64" i="5" s="1"/>
  <c r="K80" i="4"/>
  <c r="G84" i="5" s="1"/>
  <c r="H20" i="1"/>
  <c r="K38" i="4"/>
  <c r="G42" i="5" s="1"/>
  <c r="K6" i="4"/>
  <c r="G10" i="5" s="1"/>
  <c r="K12" i="4"/>
  <c r="K17" i="4"/>
  <c r="G21" i="5" s="1"/>
  <c r="K30" i="4"/>
  <c r="G34" i="5" s="1"/>
  <c r="K73" i="4"/>
  <c r="G77" i="5" s="1"/>
  <c r="D21" i="1"/>
  <c r="K9" i="4"/>
  <c r="G13" i="5" s="1"/>
  <c r="K43" i="4"/>
  <c r="G47" i="5" s="1"/>
  <c r="K71" i="4"/>
  <c r="G75" i="5" s="1"/>
  <c r="K75" i="4"/>
  <c r="G79" i="5" s="1"/>
  <c r="K86" i="4"/>
  <c r="G90" i="5" s="1"/>
  <c r="L7" i="1"/>
  <c r="E20" i="1"/>
  <c r="K39" i="4"/>
  <c r="G43" i="5" s="1"/>
  <c r="F20" i="1"/>
  <c r="K18" i="4"/>
  <c r="K23" i="4"/>
  <c r="G27" i="5" s="1"/>
  <c r="K37" i="4"/>
  <c r="G41" i="5" s="1"/>
  <c r="L10" i="1"/>
  <c r="C7" i="6" s="1"/>
  <c r="E7" i="6" s="1"/>
  <c r="F7" i="6" s="1"/>
  <c r="G20" i="1"/>
  <c r="K15" i="4"/>
  <c r="G19" i="5" s="1"/>
  <c r="K41" i="4"/>
  <c r="K45" i="4"/>
  <c r="G49" i="5" s="1"/>
  <c r="K52" i="4"/>
  <c r="G56" i="5" s="1"/>
  <c r="K69" i="4"/>
  <c r="G73" i="5" s="1"/>
  <c r="K87" i="4"/>
  <c r="G91" i="5" s="1"/>
  <c r="K19" i="4"/>
  <c r="G23" i="5" s="1"/>
  <c r="K53" i="4"/>
  <c r="G57" i="5" s="1"/>
  <c r="K5" i="4"/>
  <c r="K32" i="4"/>
  <c r="G36" i="5" s="1"/>
  <c r="K35" i="4"/>
  <c r="K84" i="4"/>
  <c r="G88" i="5" s="1"/>
  <c r="K29" i="4"/>
  <c r="K25" i="4"/>
  <c r="G29" i="5" s="1"/>
  <c r="K40" i="4"/>
  <c r="G44" i="5" s="1"/>
  <c r="K65" i="4"/>
  <c r="G69" i="5" s="1"/>
  <c r="G68" i="5" s="1"/>
  <c r="K14" i="4"/>
  <c r="G18" i="5" s="1"/>
  <c r="K24" i="4"/>
  <c r="G28" i="5" s="1"/>
  <c r="K78" i="4"/>
  <c r="M78" i="4" s="1"/>
  <c r="K62" i="4"/>
  <c r="G66" i="5" s="1"/>
  <c r="G65" i="5" s="1"/>
  <c r="K33" i="4"/>
  <c r="G37" i="5" s="1"/>
  <c r="K137" i="4"/>
  <c r="G141" i="5" s="1"/>
  <c r="G140" i="5" s="1"/>
  <c r="K27" i="4"/>
  <c r="G31" i="5" s="1"/>
  <c r="G30" i="5" s="1"/>
  <c r="K31" i="4"/>
  <c r="G35" i="5" s="1"/>
  <c r="K42" i="4"/>
  <c r="G46" i="5" s="1"/>
  <c r="K10" i="4"/>
  <c r="G14" i="5" s="1"/>
  <c r="K44" i="4"/>
  <c r="G48" i="5" s="1"/>
  <c r="K34" i="4"/>
  <c r="G38" i="5" s="1"/>
  <c r="K8" i="4"/>
  <c r="K13" i="4"/>
  <c r="G17" i="5" s="1"/>
  <c r="L8" i="1"/>
  <c r="C5" i="6" s="1"/>
  <c r="E5" i="6" s="1"/>
  <c r="K81" i="4"/>
  <c r="G85" i="5" s="1"/>
  <c r="B5" i="6"/>
  <c r="C20" i="1"/>
  <c r="K57" i="4"/>
  <c r="G61" i="5" s="1"/>
  <c r="K4" i="4"/>
  <c r="K11" i="4"/>
  <c r="G15" i="5" s="1"/>
  <c r="K16" i="4"/>
  <c r="G20" i="5" s="1"/>
  <c r="K55" i="4"/>
  <c r="G59" i="5" s="1"/>
  <c r="K70" i="4"/>
  <c r="G74" i="5" s="1"/>
  <c r="K47" i="4"/>
  <c r="G51" i="5" s="1"/>
  <c r="K74" i="4"/>
  <c r="G78" i="5" s="1"/>
  <c r="K68" i="4"/>
  <c r="K76" i="4"/>
  <c r="K89" i="4"/>
  <c r="K79" i="4"/>
  <c r="G83" i="5" s="1"/>
  <c r="K136" i="4"/>
  <c r="K26" i="4"/>
  <c r="M26" i="4" s="1"/>
  <c r="K7" i="4"/>
  <c r="G11" i="5" s="1"/>
  <c r="K21" i="4"/>
  <c r="M21" i="4" s="1"/>
  <c r="K49" i="4"/>
  <c r="G53" i="5" s="1"/>
  <c r="K59" i="4"/>
  <c r="G63" i="5" s="1"/>
  <c r="K36" i="4"/>
  <c r="G40" i="5" s="1"/>
  <c r="K51" i="4"/>
  <c r="G55" i="5" s="1"/>
  <c r="B9" i="6"/>
  <c r="C23" i="1"/>
  <c r="K50" i="4"/>
  <c r="G54" i="5" s="1"/>
  <c r="H100" i="5"/>
  <c r="H140" i="5"/>
  <c r="F23" i="6"/>
  <c r="H96" i="5"/>
  <c r="C21" i="1"/>
  <c r="E21" i="1"/>
  <c r="D20" i="1"/>
  <c r="D23" i="1"/>
  <c r="E23" i="1"/>
  <c r="M12" i="1"/>
  <c r="N12" i="1"/>
  <c r="N9" i="1"/>
  <c r="G15" i="1"/>
  <c r="C9" i="6"/>
  <c r="E9" i="6" s="1"/>
  <c r="M10" i="1"/>
  <c r="M9" i="1"/>
  <c r="M11" i="1"/>
  <c r="C6" i="6"/>
  <c r="E6" i="6" s="1"/>
  <c r="F6" i="6" s="1"/>
  <c r="M8" i="1"/>
  <c r="J20" i="1" l="1"/>
  <c r="K20" i="1" s="1"/>
  <c r="F25" i="1"/>
  <c r="E147" i="4"/>
  <c r="E148" i="4" s="1"/>
  <c r="G25" i="1"/>
  <c r="L14" i="1"/>
  <c r="N14" i="1" s="1"/>
  <c r="G147" i="4"/>
  <c r="G148" i="4" s="1"/>
  <c r="I147" i="4"/>
  <c r="I148" i="4" s="1"/>
  <c r="F147" i="4"/>
  <c r="F148" i="4" s="1"/>
  <c r="D147" i="4"/>
  <c r="H25" i="1"/>
  <c r="E25" i="1"/>
  <c r="K7" i="1"/>
  <c r="J14" i="1"/>
  <c r="K14" i="1" s="1"/>
  <c r="D25" i="1"/>
  <c r="C25" i="1"/>
  <c r="B27" i="1" s="1"/>
  <c r="O19" i="1"/>
  <c r="J19" i="1"/>
  <c r="J23" i="1"/>
  <c r="K23" i="1" s="1"/>
  <c r="J22" i="1"/>
  <c r="K22" i="1" s="1"/>
  <c r="K8" i="1"/>
  <c r="K21" i="1"/>
  <c r="C131" i="5"/>
  <c r="K137" i="5"/>
  <c r="I21" i="1"/>
  <c r="H15" i="1"/>
  <c r="I14" i="1"/>
  <c r="I20" i="1"/>
  <c r="I22" i="1"/>
  <c r="I23" i="1"/>
  <c r="I19" i="1"/>
  <c r="L19" i="1"/>
  <c r="N7" i="1"/>
  <c r="L127" i="4"/>
  <c r="H131" i="5" s="1"/>
  <c r="J3" i="4"/>
  <c r="C52" i="5"/>
  <c r="K52" i="5" s="1"/>
  <c r="F22" i="5"/>
  <c r="C45" i="5"/>
  <c r="K45" i="5" s="1"/>
  <c r="F25" i="5"/>
  <c r="F52" i="5"/>
  <c r="F72" i="5"/>
  <c r="E7" i="5"/>
  <c r="F8" i="5"/>
  <c r="F39" i="5"/>
  <c r="F60" i="5"/>
  <c r="F33" i="5"/>
  <c r="F12" i="5"/>
  <c r="F82" i="5"/>
  <c r="F45" i="5"/>
  <c r="F137" i="5"/>
  <c r="F131" i="5" s="1"/>
  <c r="F16" i="5"/>
  <c r="F87" i="5"/>
  <c r="G137" i="5"/>
  <c r="G82" i="5"/>
  <c r="G22" i="5"/>
  <c r="G87" i="5"/>
  <c r="G39" i="5"/>
  <c r="G72" i="5"/>
  <c r="G60" i="5"/>
  <c r="G52" i="5"/>
  <c r="G45" i="5"/>
  <c r="G33" i="5"/>
  <c r="G25" i="5"/>
  <c r="G16" i="5"/>
  <c r="G12" i="5"/>
  <c r="D7" i="5"/>
  <c r="M34" i="4"/>
  <c r="I38" i="5" s="1"/>
  <c r="C93" i="5"/>
  <c r="C86" i="5" s="1"/>
  <c r="K86" i="5" s="1"/>
  <c r="F86" i="5"/>
  <c r="M137" i="4"/>
  <c r="I141" i="5" s="1"/>
  <c r="M135" i="4"/>
  <c r="I139" i="5" s="1"/>
  <c r="M134" i="4"/>
  <c r="I138" i="5" s="1"/>
  <c r="M79" i="4"/>
  <c r="I83" i="5" s="1"/>
  <c r="M74" i="4"/>
  <c r="I78" i="5" s="1"/>
  <c r="M70" i="4"/>
  <c r="I74" i="5" s="1"/>
  <c r="M62" i="4"/>
  <c r="I66" i="5" s="1"/>
  <c r="M57" i="4"/>
  <c r="I61" i="5" s="1"/>
  <c r="M50" i="4"/>
  <c r="I54" i="5" s="1"/>
  <c r="M53" i="4"/>
  <c r="I57" i="5" s="1"/>
  <c r="M49" i="4"/>
  <c r="I53" i="5" s="1"/>
  <c r="M44" i="4"/>
  <c r="I48" i="5" s="1"/>
  <c r="M42" i="4"/>
  <c r="I46" i="5" s="1"/>
  <c r="M37" i="4"/>
  <c r="I41" i="5" s="1"/>
  <c r="M36" i="4"/>
  <c r="I40" i="5" s="1"/>
  <c r="L82" i="4"/>
  <c r="H86" i="5" s="1"/>
  <c r="C8" i="5"/>
  <c r="C22" i="5"/>
  <c r="I95" i="5"/>
  <c r="J82" i="4"/>
  <c r="J28" i="4"/>
  <c r="C16" i="5"/>
  <c r="C12" i="5"/>
  <c r="M33" i="4"/>
  <c r="I37" i="5" s="1"/>
  <c r="M25" i="4"/>
  <c r="I29" i="5" s="1"/>
  <c r="M14" i="4"/>
  <c r="I18" i="5" s="1"/>
  <c r="M13" i="4"/>
  <c r="I17" i="5" s="1"/>
  <c r="M10" i="4"/>
  <c r="I14" i="5" s="1"/>
  <c r="M9" i="4"/>
  <c r="I13" i="5" s="1"/>
  <c r="M5" i="4"/>
  <c r="I9" i="5" s="1"/>
  <c r="G9" i="5"/>
  <c r="G8" i="5" s="1"/>
  <c r="H147" i="4"/>
  <c r="L3" i="4"/>
  <c r="E86" i="5"/>
  <c r="H95" i="5"/>
  <c r="M29" i="4"/>
  <c r="I33" i="5" s="1"/>
  <c r="K28" i="4"/>
  <c r="M136" i="4"/>
  <c r="K127" i="4"/>
  <c r="M83" i="4"/>
  <c r="I87" i="5" s="1"/>
  <c r="K82" i="4"/>
  <c r="M4" i="4"/>
  <c r="I8" i="5" s="1"/>
  <c r="K3" i="4"/>
  <c r="M19" i="4"/>
  <c r="I23" i="5" s="1"/>
  <c r="M58" i="4"/>
  <c r="I62" i="5" s="1"/>
  <c r="I101" i="5"/>
  <c r="I102" i="5"/>
  <c r="M72" i="4"/>
  <c r="I76" i="5" s="1"/>
  <c r="M31" i="4"/>
  <c r="I35" i="5" s="1"/>
  <c r="I99" i="5"/>
  <c r="M86" i="4"/>
  <c r="I90" i="5" s="1"/>
  <c r="I97" i="5"/>
  <c r="M54" i="4"/>
  <c r="I58" i="5" s="1"/>
  <c r="M51" i="4"/>
  <c r="I55" i="5" s="1"/>
  <c r="M47" i="4"/>
  <c r="I51" i="5" s="1"/>
  <c r="M81" i="4"/>
  <c r="I85" i="5" s="1"/>
  <c r="M27" i="4"/>
  <c r="I31" i="5" s="1"/>
  <c r="M65" i="4"/>
  <c r="I69" i="5" s="1"/>
  <c r="G116" i="5"/>
  <c r="M39" i="4"/>
  <c r="I43" i="5" s="1"/>
  <c r="M75" i="4"/>
  <c r="I79" i="5" s="1"/>
  <c r="M73" i="4"/>
  <c r="I77" i="5" s="1"/>
  <c r="M15" i="4"/>
  <c r="I19" i="5" s="1"/>
  <c r="M38" i="4"/>
  <c r="I42" i="5" s="1"/>
  <c r="M7" i="4"/>
  <c r="I11" i="5" s="1"/>
  <c r="M87" i="4"/>
  <c r="I91" i="5" s="1"/>
  <c r="M76" i="4"/>
  <c r="I80" i="5" s="1"/>
  <c r="M16" i="4"/>
  <c r="I20" i="5" s="1"/>
  <c r="M84" i="4"/>
  <c r="I88" i="5" s="1"/>
  <c r="M69" i="4"/>
  <c r="I73" i="5" s="1"/>
  <c r="I100" i="5"/>
  <c r="M43" i="4"/>
  <c r="I47" i="5" s="1"/>
  <c r="M17" i="4"/>
  <c r="I21" i="5" s="1"/>
  <c r="M80" i="4"/>
  <c r="I84" i="5" s="1"/>
  <c r="I96" i="5"/>
  <c r="M24" i="4"/>
  <c r="I28" i="5" s="1"/>
  <c r="M23" i="4"/>
  <c r="I27" i="5" s="1"/>
  <c r="M61" i="4"/>
  <c r="I65" i="5" s="1"/>
  <c r="M18" i="4"/>
  <c r="I22" i="5" s="1"/>
  <c r="M89" i="4"/>
  <c r="I93" i="5" s="1"/>
  <c r="M40" i="4"/>
  <c r="I44" i="5" s="1"/>
  <c r="M30" i="4"/>
  <c r="I34" i="5" s="1"/>
  <c r="M11" i="4"/>
  <c r="I15" i="5" s="1"/>
  <c r="M35" i="4"/>
  <c r="I39" i="5" s="1"/>
  <c r="M52" i="4"/>
  <c r="I56" i="5" s="1"/>
  <c r="M12" i="4"/>
  <c r="I16" i="5" s="1"/>
  <c r="I98" i="5"/>
  <c r="M20" i="4"/>
  <c r="I24" i="5" s="1"/>
  <c r="M41" i="4"/>
  <c r="I45" i="5" s="1"/>
  <c r="M48" i="4"/>
  <c r="I52" i="5" s="1"/>
  <c r="M56" i="4"/>
  <c r="I60" i="5" s="1"/>
  <c r="M55" i="4"/>
  <c r="I59" i="5" s="1"/>
  <c r="M71" i="4"/>
  <c r="I75" i="5" s="1"/>
  <c r="M46" i="4"/>
  <c r="I50" i="5" s="1"/>
  <c r="M68" i="4"/>
  <c r="I72" i="5" s="1"/>
  <c r="M59" i="4"/>
  <c r="I63" i="5" s="1"/>
  <c r="M8" i="4"/>
  <c r="I12" i="5" s="1"/>
  <c r="M32" i="4"/>
  <c r="I36" i="5" s="1"/>
  <c r="M45" i="4"/>
  <c r="I49" i="5" s="1"/>
  <c r="M6" i="4"/>
  <c r="I10" i="5" s="1"/>
  <c r="M60" i="4"/>
  <c r="I64" i="5" s="1"/>
  <c r="M67" i="4"/>
  <c r="I71" i="5" s="1"/>
  <c r="M85" i="4"/>
  <c r="I89" i="5" s="1"/>
  <c r="M112" i="4"/>
  <c r="I116" i="5" s="1"/>
  <c r="I140" i="5"/>
  <c r="M141" i="4"/>
  <c r="I145" i="5" s="1"/>
  <c r="M19" i="1"/>
  <c r="C8" i="6"/>
  <c r="E8" i="6" s="1"/>
  <c r="F8" i="6" s="1"/>
  <c r="C4" i="6"/>
  <c r="F9" i="6"/>
  <c r="F5" i="6"/>
  <c r="N8" i="1"/>
  <c r="L20" i="1"/>
  <c r="B10" i="6"/>
  <c r="N11" i="1"/>
  <c r="N23" i="1"/>
  <c r="L21" i="1"/>
  <c r="N21" i="1" s="1"/>
  <c r="M20" i="1"/>
  <c r="N10" i="1"/>
  <c r="I30" i="5"/>
  <c r="I82" i="5"/>
  <c r="C15" i="1"/>
  <c r="M21" i="1"/>
  <c r="I25" i="5"/>
  <c r="M23" i="1"/>
  <c r="M22" i="1"/>
  <c r="M14" i="1"/>
  <c r="J147" i="4" l="1"/>
  <c r="K131" i="5"/>
  <c r="M3" i="4"/>
  <c r="K147" i="4"/>
  <c r="K148" i="4" s="1"/>
  <c r="L25" i="1"/>
  <c r="K19" i="1"/>
  <c r="J25" i="1"/>
  <c r="K25" i="1" s="1"/>
  <c r="I25" i="1"/>
  <c r="F7" i="5"/>
  <c r="J7" i="5" s="1"/>
  <c r="G7" i="5"/>
  <c r="F32" i="5"/>
  <c r="L66" i="4"/>
  <c r="H70" i="5" s="1"/>
  <c r="E32" i="5"/>
  <c r="E151" i="5" s="1"/>
  <c r="D32" i="5"/>
  <c r="D151" i="5" s="1"/>
  <c r="C68" i="5"/>
  <c r="C32" i="5" s="1"/>
  <c r="K32" i="5" s="1"/>
  <c r="G131" i="5"/>
  <c r="M127" i="4"/>
  <c r="I131" i="5" s="1"/>
  <c r="I106" i="5"/>
  <c r="I105" i="5"/>
  <c r="I104" i="5"/>
  <c r="I129" i="5"/>
  <c r="I103" i="5"/>
  <c r="M66" i="4"/>
  <c r="I70" i="5" s="1"/>
  <c r="D148" i="4"/>
  <c r="L28" i="4"/>
  <c r="H32" i="5" s="1"/>
  <c r="M82" i="4"/>
  <c r="I86" i="5" s="1"/>
  <c r="M28" i="4"/>
  <c r="I32" i="5" s="1"/>
  <c r="G86" i="5"/>
  <c r="C10" i="6"/>
  <c r="L15" i="1"/>
  <c r="N20" i="1"/>
  <c r="N19" i="1"/>
  <c r="N22" i="1"/>
  <c r="M25" i="1"/>
  <c r="F151" i="5" l="1"/>
  <c r="F152" i="5" s="1"/>
  <c r="N25" i="1"/>
  <c r="L27" i="1"/>
  <c r="E152" i="5"/>
  <c r="D152" i="5"/>
  <c r="G32" i="5"/>
  <c r="G151" i="5" s="1"/>
  <c r="C25" i="5"/>
  <c r="L22" i="4"/>
  <c r="H26" i="5" s="1"/>
  <c r="M22" i="4"/>
  <c r="I26" i="5" s="1"/>
  <c r="G152" i="5" l="1"/>
  <c r="C7" i="5"/>
  <c r="C151" i="5" s="1"/>
  <c r="C153" i="5" s="1"/>
  <c r="M147" i="4"/>
  <c r="I151" i="5" s="1"/>
  <c r="L147" i="4"/>
  <c r="H151" i="5" s="1"/>
  <c r="I7" i="5"/>
  <c r="H7" i="5"/>
  <c r="D10" i="6"/>
  <c r="E4" i="6"/>
  <c r="C152" i="5" l="1"/>
  <c r="K7" i="5"/>
  <c r="E10" i="6"/>
  <c r="F4" i="6"/>
  <c r="F10" i="6" l="1"/>
  <c r="E25" i="6"/>
  <c r="AD11" i="11" l="1"/>
  <c r="AE11" i="11" l="1"/>
  <c r="AV10" i="11" s="1"/>
  <c r="AD10" i="11" l="1"/>
  <c r="AE10" i="11" l="1"/>
  <c r="AV9" i="11" s="1"/>
  <c r="AD9" i="11" l="1"/>
  <c r="AE9" i="11" l="1"/>
  <c r="AV8" i="11" s="1"/>
  <c r="AD8" i="11" l="1"/>
  <c r="AE8" i="11" l="1"/>
  <c r="AV7" i="11" s="1"/>
  <c r="B8" i="13" l="1"/>
  <c r="AD7" i="11"/>
  <c r="AD12" i="11" s="1"/>
  <c r="C3" i="13" l="1"/>
  <c r="AE7" i="11"/>
  <c r="AV6" i="11" s="1"/>
  <c r="C4" i="13"/>
  <c r="C6" i="13"/>
  <c r="C5" i="13"/>
  <c r="C7" i="13"/>
</calcChain>
</file>

<file path=xl/comments1.xml><?xml version="1.0" encoding="utf-8"?>
<comments xmlns="http://schemas.openxmlformats.org/spreadsheetml/2006/main">
  <authors>
    <author>Karol Arroyo Hernadez</author>
  </authors>
  <commentList>
    <comment ref="D201" authorId="0" shapeId="0">
      <text>
        <r>
          <rPr>
            <b/>
            <sz val="9"/>
            <color indexed="81"/>
            <rFont val="Tahoma"/>
            <family val="2"/>
          </rPr>
          <t>Karol Arroyo Hernadez:</t>
        </r>
        <r>
          <rPr>
            <sz val="9"/>
            <color indexed="81"/>
            <rFont val="Tahoma"/>
            <family val="2"/>
          </rPr>
          <t xml:space="preserve">
La diferencia corresponde al traslado de partida que se encuentra en tramite ante el Min Hacienda</t>
        </r>
      </text>
    </comment>
  </commentList>
</comments>
</file>

<file path=xl/sharedStrings.xml><?xml version="1.0" encoding="utf-8"?>
<sst xmlns="http://schemas.openxmlformats.org/spreadsheetml/2006/main" count="2632" uniqueCount="615">
  <si>
    <t>Partida</t>
  </si>
  <si>
    <t xml:space="preserve">Apropiación Actual </t>
  </si>
  <si>
    <t xml:space="preserve"> Cuota Comprometida </t>
  </si>
  <si>
    <t xml:space="preserve"> Solicitado </t>
  </si>
  <si>
    <t> Gasto Real</t>
  </si>
  <si>
    <t>C+D</t>
  </si>
  <si>
    <t xml:space="preserve">Disponible Presupuestario </t>
  </si>
  <si>
    <t> % de Ejecución Gasto Real</t>
  </si>
  <si>
    <t>% de Disponible</t>
  </si>
  <si>
    <t>0  REMUNERACIONES</t>
  </si>
  <si>
    <t>1  SERVICIOS</t>
  </si>
  <si>
    <t>2  MATERIALES Y SUMINIS</t>
  </si>
  <si>
    <t>5  BIENES DURADEROS</t>
  </si>
  <si>
    <t>6  TRANSF. CORRIENTES</t>
  </si>
  <si>
    <t>7 TRANSF. DE CAPITAL</t>
  </si>
  <si>
    <t>TOTAL</t>
  </si>
  <si>
    <t>Tipo de Gasto</t>
  </si>
  <si>
    <t>Remuneraciones + Cargas Patronales</t>
  </si>
  <si>
    <t>Gasto Operativo</t>
  </si>
  <si>
    <t>Inversión publica</t>
  </si>
  <si>
    <t>Transferencias Corrientes</t>
  </si>
  <si>
    <t>Transferencias de Capital</t>
  </si>
  <si>
    <t xml:space="preserve">G O B I E R N O   C E N T R A L   D E   C O S T A   R I C A            </t>
  </si>
  <si>
    <t xml:space="preserve">MINISTERIO DE HACIENDA - CONTABILIDAD NACIONAL              </t>
  </si>
  <si>
    <t>Pos Pre</t>
  </si>
  <si>
    <t>Aprop. Act</t>
  </si>
  <si>
    <t>Cuota. Comp</t>
  </si>
  <si>
    <t>Solicitado</t>
  </si>
  <si>
    <t>% Solic.</t>
  </si>
  <si>
    <t>Comprometido</t>
  </si>
  <si>
    <t>% Comp</t>
  </si>
  <si>
    <t>Rec. M/cía</t>
  </si>
  <si>
    <t>% Rec. M/cía</t>
  </si>
  <si>
    <t>Devengado</t>
  </si>
  <si>
    <t>% Deve.</t>
  </si>
  <si>
    <t>Pagado</t>
  </si>
  <si>
    <t>% Pagado</t>
  </si>
  <si>
    <t>Disp. Pre</t>
  </si>
  <si>
    <t>% Disp. Pre</t>
  </si>
  <si>
    <t>Disp. Cuota</t>
  </si>
  <si>
    <t>% Disp. Cuota</t>
  </si>
  <si>
    <t>Representar en</t>
  </si>
  <si>
    <t>1 CRC</t>
  </si>
  <si>
    <t>Compromiso</t>
  </si>
  <si>
    <t xml:space="preserve">Proyección ejecución por partida presupuestaria 2015 </t>
  </si>
  <si>
    <t>Apropiación actual</t>
  </si>
  <si>
    <t>Proyección de gasto a diciembre</t>
  </si>
  <si>
    <t>Saldo disponible</t>
  </si>
  <si>
    <t>Proyección ejecución por programa presupuestario 2015</t>
  </si>
  <si>
    <t>779: Actividad Central</t>
  </si>
  <si>
    <t>780: Promoción de la Paz</t>
  </si>
  <si>
    <t>781: PGR</t>
  </si>
  <si>
    <t>783: Administración Penitenciaria</t>
  </si>
  <si>
    <t>784: Registro Nacional</t>
  </si>
  <si>
    <t>Disponible al 07 de Setiembre</t>
  </si>
  <si>
    <t>214  - Ministerio de Justicia y Gracia</t>
  </si>
  <si>
    <t>Programa</t>
  </si>
  <si>
    <t>INFORME DE PRESUPUESTO DE EGRESOS   POR PARTIDA</t>
  </si>
  <si>
    <t xml:space="preserve"> Total de Egresos</t>
  </si>
  <si>
    <t>% Componentes de la Apropiación</t>
  </si>
  <si>
    <t>Apropiación Actual</t>
  </si>
  <si>
    <t>Solicitado (solicitudes ingresadas en Compra Red)</t>
  </si>
  <si>
    <t>Comprometido (en órdenes de pedido)</t>
  </si>
  <si>
    <t>Rec. Mercancía</t>
  </si>
  <si>
    <t>Devengado (Real ejecutado, todas las facturas, lo pagado más lo ingresado pendiente de pago)</t>
  </si>
  <si>
    <t>Disponible Presupuestario</t>
  </si>
  <si>
    <t>Presupuesto Ejecutado (solicitado+comprometido+rec. mercacía+devengado)</t>
  </si>
  <si>
    <t>Real Pagado</t>
  </si>
  <si>
    <t>Disponoble cuota</t>
  </si>
  <si>
    <t>INFORME DE PRESUPUESTO DE EGRESOS</t>
  </si>
  <si>
    <t>INFORME DE PRESUPUESTO DE EGRESOS   POR PROGRAMA</t>
  </si>
  <si>
    <t>Programas</t>
  </si>
  <si>
    <t>%</t>
  </si>
  <si>
    <t xml:space="preserve"> % </t>
  </si>
  <si>
    <t xml:space="preserve"> % de Ejecución </t>
  </si>
  <si>
    <t>PROG 779</t>
  </si>
  <si>
    <t>PROG 780</t>
  </si>
  <si>
    <t>PROG 781</t>
  </si>
  <si>
    <t>PROG 783</t>
  </si>
  <si>
    <t>PROG 784</t>
  </si>
  <si>
    <t>Monto</t>
  </si>
  <si>
    <t>07-Enero</t>
  </si>
  <si>
    <t>02-Febrero</t>
  </si>
  <si>
    <t>01-Marzo</t>
  </si>
  <si>
    <t>01-ABRIL</t>
  </si>
  <si>
    <t>Apropiación</t>
  </si>
  <si>
    <t>Disponible</t>
  </si>
  <si>
    <t>% Ejecución</t>
  </si>
  <si>
    <t>22-ABRIL</t>
  </si>
  <si>
    <t>11-MAYO</t>
  </si>
  <si>
    <t>Fondo</t>
  </si>
  <si>
    <t>Desc.Pos.presupuestaria</t>
  </si>
  <si>
    <t>E-0</t>
  </si>
  <si>
    <t>REMUNERACIONES</t>
  </si>
  <si>
    <t>E-001</t>
  </si>
  <si>
    <t>REMUNERACIONES BASICAS</t>
  </si>
  <si>
    <t>E-00101</t>
  </si>
  <si>
    <t>SUELDOS PARA CARGOS FIJOS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</si>
  <si>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</si>
  <si>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</si>
  <si>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</si>
  <si>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</si>
  <si>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</si>
  <si>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</si>
  <si>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</si>
  <si>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</si>
  <si>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</si>
  <si>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</si>
  <si>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</si>
  <si>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</si>
  <si>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</si>
  <si>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</si>
  <si>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E-00303</t>
  </si>
  <si>
    <t>DECIMOTERCER MES</t>
  </si>
  <si>
    <t>E-004</t>
  </si>
  <si>
    <t>CONTRIB. PATRONALES AL DES. Y LA SEGURIDAD SOCIAL</t>
  </si>
  <si>
    <t>E0040120077900</t>
  </si>
  <si>
    <t>E0040520077900</t>
  </si>
  <si>
    <t>E-005</t>
  </si>
  <si>
    <t>CONTRIB PATRONALES A FOND PENS Y OTROS FOND CAPIT.</t>
  </si>
  <si>
    <t>E0050120077900</t>
  </si>
  <si>
    <t>CCSS CONTRIBUCION PATRONAL SEGURO PENSIONES (SEGUN LEY NO. 17 DEL 22/10/1943, LEY CONSTITUTIVA DE LA C.C.S.S. Y REGLAMENTO NO. 6898</t>
  </si>
  <si>
    <t>E0050220077900</t>
  </si>
  <si>
    <t>CCSS APORTE PATRONAL REGIMEN PENSIONES (SEGUN LEY DE PROTECCION AL TRABAJADOR NO. 7983 DEL 16 DE FEBRERO DEL 2000).</t>
  </si>
  <si>
    <t>E0050320077900</t>
  </si>
  <si>
    <t>CCSS APORTE PATRONAL FONDO CAPITALIZACION LABORAL (SEGUN LEY DE PROTECCION AL TRABAJADOR NO. 7983 DEL 16 DE FEBRERO DEL 2000).</t>
  </si>
  <si>
    <t>E-1</t>
  </si>
  <si>
    <t>SERVICIOS</t>
  </si>
  <si>
    <t>E-101</t>
  </si>
  <si>
    <t>ALQUILERES</t>
  </si>
  <si>
    <t>E-10103</t>
  </si>
  <si>
    <t>ALQUILER DE EQUIPO DE COMPUTO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</si>
  <si>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</si>
  <si>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</si>
  <si>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</si>
  <si>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</si>
  <si>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</si>
  <si>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</si>
  <si>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</si>
  <si>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</si>
  <si>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</si>
  <si>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</si>
  <si>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</si>
  <si>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</si>
  <si>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</si>
  <si>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</si>
  <si>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</si>
  <si>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</si>
  <si>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</si>
  <si>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</si>
  <si>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</si>
  <si>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</si>
  <si>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</si>
  <si>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</si>
  <si>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E-104</t>
  </si>
  <si>
    <t>SERVICIOS DE GESTION Y APOYO</t>
  </si>
  <si>
    <t>E-10404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</si>
  <si>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</si>
  <si>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</si>
  <si>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</si>
  <si>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</si>
  <si>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</si>
  <si>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</si>
  <si>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</si>
  <si>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</si>
  <si>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</si>
  <si>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</si>
  <si>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</si>
  <si>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</si>
  <si>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</si>
  <si>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</si>
  <si>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</si>
  <si>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</si>
  <si>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</si>
  <si>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</si>
  <si>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</si>
  <si>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</si>
  <si>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</si>
  <si>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</si>
  <si>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</si>
  <si>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</si>
  <si>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</si>
  <si>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</si>
  <si>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</si>
  <si>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</si>
  <si>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</si>
  <si>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</si>
  <si>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</si>
  <si>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</si>
  <si>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</si>
  <si>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</si>
  <si>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</si>
  <si>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</si>
  <si>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</si>
  <si>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</si>
  <si>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</si>
  <si>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</si>
  <si>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</si>
  <si>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</si>
  <si>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</si>
  <si>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</si>
  <si>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E-19905</t>
  </si>
  <si>
    <t>DEDUCIBLES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</si>
  <si>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</si>
  <si>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</si>
  <si>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</si>
  <si>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</si>
  <si>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</si>
  <si>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</si>
  <si>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</si>
  <si>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</si>
  <si>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</si>
  <si>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</si>
  <si>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</si>
  <si>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</si>
  <si>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</si>
  <si>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</si>
  <si>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</si>
  <si>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</si>
  <si>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</si>
  <si>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</si>
  <si>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</si>
  <si>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</si>
  <si>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</si>
  <si>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</si>
  <si>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</si>
  <si>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</si>
  <si>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</si>
  <si>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</si>
  <si>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</si>
  <si>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</si>
  <si>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</si>
  <si>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</si>
  <si>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</si>
  <si>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</si>
  <si>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</si>
  <si>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</si>
  <si>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</si>
  <si>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 MATERIALES Y 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</si>
  <si>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</si>
  <si>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</si>
  <si>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</si>
  <si>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</si>
  <si>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</si>
  <si>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</si>
  <si>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</si>
  <si>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</si>
  <si>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</si>
  <si>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</si>
  <si>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</si>
  <si>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</si>
  <si>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</si>
  <si>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</si>
  <si>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</si>
  <si>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</si>
  <si>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</si>
  <si>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</si>
  <si>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</si>
  <si>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</si>
  <si>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E6010221077900</t>
  </si>
  <si>
    <t>COMISION NACIONAL DE PREVENCION DE RIESGOS Y ATENCION DE EMERGENCIAS. (APORTE ANUAL DE CONFORMIDAD CON EL ARTICULO 42 DE LA LEY NACIONAL</t>
  </si>
  <si>
    <t>E6010221577900</t>
  </si>
  <si>
    <t>AGENCIA DE PROTECCION DE DATOS DE LOS HABITANTES (PRODHAB). (DE CONFORMIDAD CON EL ARTICULO 20, INCISO B, LEY PROTECCION DE LA PERSONA FRENTE AL</t>
  </si>
  <si>
    <t>E6010320077900</t>
  </si>
  <si>
    <t>CCSS CONTRIBUCION ESTATAL SEGURO PENSIONES (CONTRIBUCION ESTATAL AL SEGURO DE PENSIONES, SEGUN LEY NO. 17 DEL 22/10/1943, LEY CONSTITUTIVA</t>
  </si>
  <si>
    <t>E6010320277900</t>
  </si>
  <si>
    <t>CCSS CONTRIBUCION ESTATAL SEGURO SALUD (CONTRIBUCION ESTATAL AL SEGURO DE SALUD, SEGUN LEY NO. 17 DEL 22/10/1943, LEY CONSTITUTIVA DE LA</t>
  </si>
  <si>
    <t>E-603</t>
  </si>
  <si>
    <t>PRESTACIONES</t>
  </si>
  <si>
    <t>E-60301</t>
  </si>
  <si>
    <t>PRESTACIONES LEGALES</t>
  </si>
  <si>
    <t>E-60399</t>
  </si>
  <si>
    <t>OTRAS PRESTACIONES</t>
  </si>
  <si>
    <t>E-606</t>
  </si>
  <si>
    <t>OTRAS TRANSFERENCIAS CORRIENTES AL SECTOR PRIVADO</t>
  </si>
  <si>
    <t>E-60601</t>
  </si>
  <si>
    <t>INDEMNIZACIONES</t>
  </si>
  <si>
    <t>E-60602</t>
  </si>
  <si>
    <t>REINTEGROS O DEVOLUCIONES</t>
  </si>
  <si>
    <t>E-607</t>
  </si>
  <si>
    <t>TRANSFERENCIAS CORRIENTES AL SECTOR EXTERNO</t>
  </si>
  <si>
    <t>E6070120577900</t>
  </si>
  <si>
    <t>INSTITUTO LATINOAMERICANO PARA LA PREVENCION DEL DELITO Y EL TRATAMIENTO DEL DELINCUENTE (ILANUD). (CUOTA ANUAL ORDINARIA PARA LA PREVENCION DEL</t>
  </si>
  <si>
    <t>E6070123077900</t>
  </si>
  <si>
    <t>ORGANIZACION MUNDIAL DE LA PROPIEDAD INTELECTUAL (OMPI). (CUOTA ORDINARIA SEGUN LEY NO. 6468 DEL 18/09/1980).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</si>
  <si>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</si>
  <si>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</si>
  <si>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</si>
  <si>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</si>
  <si>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</si>
  <si>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</si>
  <si>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</si>
  <si>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</si>
  <si>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</si>
  <si>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</si>
  <si>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</si>
  <si>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</si>
  <si>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</si>
  <si>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</si>
  <si>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</si>
  <si>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</si>
  <si>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</si>
  <si>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</si>
  <si>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</si>
  <si>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</si>
  <si>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</si>
  <si>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</si>
  <si>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E0040120078000</t>
  </si>
  <si>
    <t>E0040520078000</t>
  </si>
  <si>
    <t>E0050120078000</t>
  </si>
  <si>
    <t>E0050220078000</t>
  </si>
  <si>
    <t>E0050320078000</t>
  </si>
  <si>
    <t>E-10101</t>
  </si>
  <si>
    <t>ALQUILER DE EDIFICIOS, LOCALES Y TERRENOS</t>
  </si>
  <si>
    <t>E-10302</t>
  </si>
  <si>
    <t>PUBLICIDAD Y PROPAGANDA</t>
  </si>
  <si>
    <t>E-10701</t>
  </si>
  <si>
    <t>ACTIVIDADES DE CAPACITACION</t>
  </si>
  <si>
    <t>E6010320078000</t>
  </si>
  <si>
    <t>E6010320278000</t>
  </si>
  <si>
    <t>E-00105</t>
  </si>
  <si>
    <t>SUPLENCIAS</t>
  </si>
  <si>
    <t>E0040120078100</t>
  </si>
  <si>
    <t>E0040520078100</t>
  </si>
  <si>
    <t>E0050120078100</t>
  </si>
  <si>
    <t>E0050220078100</t>
  </si>
  <si>
    <t>E0050320078100</t>
  </si>
  <si>
    <t>E-10102</t>
  </si>
  <si>
    <t>ALQUILER DE MAQUINARIA, EQUIPO Y MOBILIARIO</t>
  </si>
  <si>
    <t>E-10104</t>
  </si>
  <si>
    <t>ALQUILER Y DERECHOS PARA TELECOMUNICACIONES</t>
  </si>
  <si>
    <t>E-10304</t>
  </si>
  <si>
    <t>TRANSPORTE DE BIENES</t>
  </si>
  <si>
    <t>E-10307</t>
  </si>
  <si>
    <t>SERVICIOS DE TRANSFERENCIA ELECTRONICA DE INFORMA</t>
  </si>
  <si>
    <t>E-10402</t>
  </si>
  <si>
    <t>SERVICIOS JURIDICOS</t>
  </si>
  <si>
    <t>E-10403</t>
  </si>
  <si>
    <t>SERVICIOS DE INGENIERIA</t>
  </si>
  <si>
    <t>E-10405</t>
  </si>
  <si>
    <t>SERVICIO DE DESARROLLO DE SISTEMAS INFORMATICOS</t>
  </si>
  <si>
    <t>E-10804</t>
  </si>
  <si>
    <t>MANT. Y REPARACION DE MAQUINARIA Y EQUIPO DE PROD.</t>
  </si>
  <si>
    <t>E-19902</t>
  </si>
  <si>
    <t>INTERESES MORATORIOS Y MULTAS</t>
  </si>
  <si>
    <t>E-20302</t>
  </si>
  <si>
    <t>MATERIALES Y PRODUCTOS MINERALES Y ASFALTICOS</t>
  </si>
  <si>
    <t>E-20303</t>
  </si>
  <si>
    <t>MADERA Y SUS DERIVADOS</t>
  </si>
  <si>
    <t>E-599</t>
  </si>
  <si>
    <t>BIENES DURADEROS DIVERSOS</t>
  </si>
  <si>
    <t>E-59903</t>
  </si>
  <si>
    <t>BIENES INTANGIBLES</t>
  </si>
  <si>
    <t>E6010320078100</t>
  </si>
  <si>
    <t>E6010320278100</t>
  </si>
  <si>
    <t>E-00103</t>
  </si>
  <si>
    <t>SERVICIOS ESPECIALES</t>
  </si>
  <si>
    <t>E-00202</t>
  </si>
  <si>
    <t>RECARGO DE FUNCIONES</t>
  </si>
  <si>
    <t>E-00203</t>
  </si>
  <si>
    <t>DISPONIBILIDAD LABORAL</t>
  </si>
  <si>
    <t>E0040120078300</t>
  </si>
  <si>
    <t>E0040520078300</t>
  </si>
  <si>
    <t>E0050120078300</t>
  </si>
  <si>
    <t>E0050220078300</t>
  </si>
  <si>
    <t>E0050320078300</t>
  </si>
  <si>
    <t>E-099</t>
  </si>
  <si>
    <t>REMUNERACIONES DIVERSAS</t>
  </si>
  <si>
    <t>E-09901</t>
  </si>
  <si>
    <t>GASTOS DE REPRESENTACION PERSONAL</t>
  </si>
  <si>
    <t>E-10401</t>
  </si>
  <si>
    <t>SERVICIOS MEDICOS Y DE LABORATORIO</t>
  </si>
  <si>
    <t>E-19901</t>
  </si>
  <si>
    <t>SERVICIOS DE REGULACION</t>
  </si>
  <si>
    <t>E-20103</t>
  </si>
  <si>
    <t>PRODUCTOS VETERINARIOS</t>
  </si>
  <si>
    <t>E-20204</t>
  </si>
  <si>
    <t>ALIMENTOS PARA ANIMALES</t>
  </si>
  <si>
    <t>E-50207</t>
  </si>
  <si>
    <t>INSTALACIONES</t>
  </si>
  <si>
    <t>E6010221078300</t>
  </si>
  <si>
    <t>UNIDAD EJECUTORA DEL PROGRAMA PARA LA PREVENCION DE LA VIOLENCIA Y PROMOCION DE LA INCLUSION SOCIAL. (LEY NO. 9025 DEL 15/02/2012, PUBLICADA</t>
  </si>
  <si>
    <t>E6010320078300</t>
  </si>
  <si>
    <t>E6010320278300</t>
  </si>
  <si>
    <t>E-602</t>
  </si>
  <si>
    <t>TRANSFERENCIAS CORRIENTES A PERSONAS</t>
  </si>
  <si>
    <t>E-60299</t>
  </si>
  <si>
    <t>OTRAS TRANSFERENCIAS A PERSONAS</t>
  </si>
  <si>
    <t>E-7</t>
  </si>
  <si>
    <t>TRANSFERENCIAS DE CAPITAL</t>
  </si>
  <si>
    <t>E-701</t>
  </si>
  <si>
    <t>TRANSFERENCIAS DE CAPITAL AL SECTOR PUBLICO</t>
  </si>
  <si>
    <t>E7010220078300</t>
  </si>
  <si>
    <t>PATRONATO DE CONSTRUCCION, INSTALACIONES Y ADQUISICION DE BIENES. (LEY NO. 6739 DEL 24/04/1982, ARTICULO 6, INCISO C, Y LEY NO. 4762</t>
  </si>
  <si>
    <t>E0040120078400</t>
  </si>
  <si>
    <t>E0040520078400</t>
  </si>
  <si>
    <t>E0050120078400</t>
  </si>
  <si>
    <t>E0050220078400</t>
  </si>
  <si>
    <t>E0050320078400</t>
  </si>
  <si>
    <t>E0050520078400</t>
  </si>
  <si>
    <t>ASOCIACION SOLIDARISTA DE EMPLEADOS DEL REGISTRO NACIONAL (ASOREN). (APORTE PATRONAL SEGUN LEY DE ASOCIACIONES SOLIDARISTAS NO. 6970 DEL 07/11/1984</t>
  </si>
  <si>
    <t>E6010320078400</t>
  </si>
  <si>
    <t>E6010320278400</t>
  </si>
  <si>
    <t>Presupuesto Actual</t>
  </si>
  <si>
    <t>E-00401</t>
  </si>
  <si>
    <t>E-00405</t>
  </si>
  <si>
    <t>E-00501</t>
  </si>
  <si>
    <t>E-00502</t>
  </si>
  <si>
    <t>E-00503</t>
  </si>
  <si>
    <t>E-00505</t>
  </si>
  <si>
    <t>E-50102</t>
  </si>
  <si>
    <t>E-60102</t>
  </si>
  <si>
    <t>E6010221078400</t>
  </si>
  <si>
    <t>E-60103</t>
  </si>
  <si>
    <t>E-60701</t>
  </si>
  <si>
    <t>E-70102</t>
  </si>
  <si>
    <t>E7010221078300</t>
  </si>
  <si>
    <t>REMUNERACIONES BASIC</t>
  </si>
  <si>
    <t>SUELDOS P/ C. FIJOS</t>
  </si>
  <si>
    <t>REMUNERACIONES EVENT</t>
  </si>
  <si>
    <t>TIEMPO EXTRAORD.</t>
  </si>
  <si>
    <t>DISPONIBILIDAD LAB.</t>
  </si>
  <si>
    <t>INCENTIVOS SALARIAL</t>
  </si>
  <si>
    <t>RETRIB AÑOS SERVIDOS</t>
  </si>
  <si>
    <t>REST. EJERC LIB PROF</t>
  </si>
  <si>
    <t>OTROS INCENT SALAR.</t>
  </si>
  <si>
    <t>CONT PATR DESA S.SOC</t>
  </si>
  <si>
    <t>CONT P.SEG.S C.C.S.S</t>
  </si>
  <si>
    <t>CCSS CONT.PAT S.SALU</t>
  </si>
  <si>
    <t>CONTRIB PAT B.P.D.C.</t>
  </si>
  <si>
    <t>BPDC</t>
  </si>
  <si>
    <t>CONT PATR F.PENS OTR</t>
  </si>
  <si>
    <t>CONT P.SPENS.C.C.S.S</t>
  </si>
  <si>
    <t>CCSS CONT.PAT S.PENS</t>
  </si>
  <si>
    <t>APORT P.RÉG.OBLI.P.C</t>
  </si>
  <si>
    <t>CCSS APO.PAT.REG.PEN</t>
  </si>
  <si>
    <t>APORT P.FOND.CAP.LAB</t>
  </si>
  <si>
    <t>CCSS APO.PAT.FON.CAP</t>
  </si>
  <si>
    <t>CONT.PAT.A.F.A.EPRIV</t>
  </si>
  <si>
    <t>ASOC.SOLID.EMP.REGIS</t>
  </si>
  <si>
    <t>REMUNERACIONES DIVER</t>
  </si>
  <si>
    <t>GASTOS REPRES.PERS.</t>
  </si>
  <si>
    <t>ALQ EDIF, LOC.Y TERR</t>
  </si>
  <si>
    <t>ALQ DE MAQ, EQ Y MOB</t>
  </si>
  <si>
    <t>ALQ. EQ. DE COMPUTO</t>
  </si>
  <si>
    <t>ALQ Y DERECH P.TELEC</t>
  </si>
  <si>
    <t>SERVICIOS BÁSICOS</t>
  </si>
  <si>
    <t>SERV.AGUA Y ALCANT.</t>
  </si>
  <si>
    <t>SERV ENERGÍA ELÉCT</t>
  </si>
  <si>
    <t>SERV.TELECOMUNIC.</t>
  </si>
  <si>
    <t>OTROS SERV.BÁSICOS</t>
  </si>
  <si>
    <t>SERV COMERC Y FINANC</t>
  </si>
  <si>
    <t>INFORMACIÓN</t>
  </si>
  <si>
    <t>IMP., ENCUAD Y OTROS</t>
  </si>
  <si>
    <t>COM G.P.S.FIN Y COM.</t>
  </si>
  <si>
    <t>SERV TRANSF.ELEC.INF</t>
  </si>
  <si>
    <t>SERV DE GEST Y APOYO</t>
  </si>
  <si>
    <t>SERV.MEDICOS YDE LAB</t>
  </si>
  <si>
    <t>SERV. DE INGENIERÍA</t>
  </si>
  <si>
    <t>SERV.CIEN.ECON.Y SOC</t>
  </si>
  <si>
    <t>SERV.DES.SIST.INFORM</t>
  </si>
  <si>
    <t>OTROS SERV.GEST.APOY</t>
  </si>
  <si>
    <t>GAST. VIAJE Y TRANSP</t>
  </si>
  <si>
    <t>TRANSP.DENT.DEL PAÍS</t>
  </si>
  <si>
    <t>VIÁTICOS DENTRO PAÍS</t>
  </si>
  <si>
    <t>TRANSPORTE EN EL EXT</t>
  </si>
  <si>
    <t>VIÁTICOS EN EXTERIOR</t>
  </si>
  <si>
    <t>SEGUROS REASEG Y OTR</t>
  </si>
  <si>
    <t>CAPACIT. Y PROTOCOLO</t>
  </si>
  <si>
    <t>ACTIV. CAPACITACIÓN</t>
  </si>
  <si>
    <t>ACTIV.PROTOCOL Y SOC</t>
  </si>
  <si>
    <t>GASTOS REPRES.INSTIT</t>
  </si>
  <si>
    <t>MANTEN. Y REPARACIÓN</t>
  </si>
  <si>
    <t>MANT.EDIF.,LOC.YTERR</t>
  </si>
  <si>
    <t>MANT.Y REP.M.EQ.PROD</t>
  </si>
  <si>
    <t>MANT.Y REP.EQ.TRANSP</t>
  </si>
  <si>
    <t>MANT.Y REP.EQ.COMUNI</t>
  </si>
  <si>
    <t>MANT.Y REP.EQ.MOB.OF</t>
  </si>
  <si>
    <t>MANT.YREP.EQ.C.S.INF</t>
  </si>
  <si>
    <t>MANT.Y REP.OTROS EQ.</t>
  </si>
  <si>
    <t>TROS IMPUESTOS</t>
  </si>
  <si>
    <t>SERV. DE REGULACIÓN</t>
  </si>
  <si>
    <t>INT. MORAT. Y MULTAS</t>
  </si>
  <si>
    <t>MATERIALES Y SUMINIS</t>
  </si>
  <si>
    <t>PRODUC QUÍM Y CONEX</t>
  </si>
  <si>
    <t>COMB Y LUBRICANTES</t>
  </si>
  <si>
    <t>PROD FARMAC Y MEDIC.</t>
  </si>
  <si>
    <t>PRODUCTOS VETERIN.</t>
  </si>
  <si>
    <t>TINTAS, PINT.Y DILUY</t>
  </si>
  <si>
    <t>OTR.PROD.QUÍM YCONEX</t>
  </si>
  <si>
    <t>ALIMEN Y PRODUC AGRO</t>
  </si>
  <si>
    <t>ALIM. PARA ANIMALES</t>
  </si>
  <si>
    <t>MATER P.CONST Y MANT</t>
  </si>
  <si>
    <t>MATERIALES YPROD MET</t>
  </si>
  <si>
    <t>MAT Y PROD.MIN.Y ASF</t>
  </si>
  <si>
    <t>MADERA Y SUS DERIV</t>
  </si>
  <si>
    <t>MAT.YPROD.ELÉC,TEL.C</t>
  </si>
  <si>
    <t>MATER. Y PROD VIDRIO</t>
  </si>
  <si>
    <t>MAT. Y PROD PLÁSTICO</t>
  </si>
  <si>
    <t>OTR.MAT.YP.USO CONST</t>
  </si>
  <si>
    <t>HERRAM REPUE Y ACCES</t>
  </si>
  <si>
    <t>HERRAM.E INSTRUMENTO</t>
  </si>
  <si>
    <t>REP.Y ACCESORIOS</t>
  </si>
  <si>
    <t>ÚTILES MAT Y SUM DIV</t>
  </si>
  <si>
    <t>ÚT.Y MAT.OF.Y COMP.</t>
  </si>
  <si>
    <t>UT.Y MAT.MÉD,H.Y INV</t>
  </si>
  <si>
    <t>PROD.PAPEL,CART.EIMP</t>
  </si>
  <si>
    <t>ÚTILES Y MATER.LIMP</t>
  </si>
  <si>
    <t>ÚTILES YMAT.RESG.SEG</t>
  </si>
  <si>
    <t>ÚTILES YMAT.COC.YCOM</t>
  </si>
  <si>
    <t>OTR.UT,MAT Y SUM.DIV</t>
  </si>
  <si>
    <t>MAQ, EQUIPO Y MOB</t>
  </si>
  <si>
    <t>MAQ.Y EQ. PRODUCCIÓN</t>
  </si>
  <si>
    <t>EQUIPO DE TRANSPORTE</t>
  </si>
  <si>
    <t>EQ. DE COMUNICACIÓN</t>
  </si>
  <si>
    <t>EQUIPO Y MOB. OFIC.</t>
  </si>
  <si>
    <t>EQ.Y PROGR. CÓMPUTO</t>
  </si>
  <si>
    <t>EQ.SANIT, LAB. E INV</t>
  </si>
  <si>
    <t>EQ.YMOB.EDUC,DEP.Y R</t>
  </si>
  <si>
    <t>MAQ,EQ Y MOV.DIVERSO</t>
  </si>
  <si>
    <t>CONST, ADIC YMEJORAS</t>
  </si>
  <si>
    <t>BIENES DURADEROS DIV</t>
  </si>
  <si>
    <t>TRANSF. CORRIENTES</t>
  </si>
  <si>
    <t>TRANSF CTES S. PUB</t>
  </si>
  <si>
    <t>TRANSF.CTE ORG.DESC</t>
  </si>
  <si>
    <t>COM.NAL.PRE.RIES.A.E</t>
  </si>
  <si>
    <t>UNIDAD EJECUTORA PRO</t>
  </si>
  <si>
    <t>JTA ADM.REGISTRO N.A</t>
  </si>
  <si>
    <t>AGENCIA PROTECCION D</t>
  </si>
  <si>
    <t>TRANSF.CTE I.D.NOE</t>
  </si>
  <si>
    <t>CCSS CONT.EST S.PENS</t>
  </si>
  <si>
    <t>CCSS CONT.EST S.SALU</t>
  </si>
  <si>
    <t>TRANSF CTES A PERS</t>
  </si>
  <si>
    <t>OTRAS TRANSF. A PERS</t>
  </si>
  <si>
    <t>OTR.TRANSF.CTE SPRIV</t>
  </si>
  <si>
    <t>REINTEGROS O DEVOL.</t>
  </si>
  <si>
    <t>TRANSF CTES AL S.EXT</t>
  </si>
  <si>
    <t>TRANSF.C.TE ORG.INT.</t>
  </si>
  <si>
    <t>INST.LATINOAME.PREVE</t>
  </si>
  <si>
    <t>ORG.MUNDIAL PROPIEDA</t>
  </si>
  <si>
    <t>TRANSF. DE CAPITAL</t>
  </si>
  <si>
    <t>TRANSF DE CTAL S PUB</t>
  </si>
  <si>
    <t>TRANSF.CTAL ORG.DESC</t>
  </si>
  <si>
    <t>PATRONATO CONSTRUC.</t>
  </si>
  <si>
    <t>TOTALES</t>
  </si>
  <si>
    <t>PUBLICIDAD Y PROPAG.</t>
  </si>
  <si>
    <t>SERVICIOS JURÍDICOS</t>
  </si>
  <si>
    <t>Total gasto Real</t>
  </si>
  <si>
    <t>Descripción</t>
  </si>
  <si>
    <t xml:space="preserve">Presupuesto Actual </t>
  </si>
  <si>
    <t>Disponible Presupuesto</t>
  </si>
  <si>
    <t>Cuota Liberación</t>
  </si>
  <si>
    <t>214</t>
  </si>
  <si>
    <t>001</t>
  </si>
  <si>
    <t>21477900</t>
  </si>
  <si>
    <t>280</t>
  </si>
  <si>
    <t>21478000</t>
  </si>
  <si>
    <t>21478100</t>
  </si>
  <si>
    <t>21478300</t>
  </si>
  <si>
    <t>21478400</t>
  </si>
  <si>
    <t>01-JUNIO</t>
  </si>
  <si>
    <t>Centro gestor</t>
  </si>
  <si>
    <t>Pos.presupuestaria</t>
  </si>
  <si>
    <t>Ley de Presupuesto</t>
  </si>
  <si>
    <t>Disponible Liberado</t>
  </si>
  <si>
    <t>Recepción Mercancía</t>
  </si>
  <si>
    <t>30-JUNIO</t>
  </si>
  <si>
    <t xml:space="preserve">% de Ejecución </t>
  </si>
  <si>
    <t>2  MATERIALES Y SUMINISTROS</t>
  </si>
  <si>
    <t>03-AGOSTO</t>
  </si>
  <si>
    <t>26-AGOSTO</t>
  </si>
  <si>
    <t>31-AGOSTO</t>
  </si>
  <si>
    <t>30-SETIEMBRE</t>
  </si>
  <si>
    <t>E6070120877900</t>
  </si>
  <si>
    <t>31-OCTUBRE</t>
  </si>
  <si>
    <t>30-NOVIEMBRE</t>
  </si>
  <si>
    <t xml:space="preserve">ORGANIZ COOP. DESAR. ECON </t>
  </si>
  <si>
    <t>23-DICIEMBRE</t>
  </si>
  <si>
    <t>CCSS CONTRIBUCION PATRONAL SEGURO SALUD (SEGUN LEY NO. 17 DEL 22/10/1943, LEY CONSTITUTIVA DE LA C.C.S.S. Y REGLAMENTO NO. 7082</t>
  </si>
  <si>
    <t>E-10602</t>
  </si>
  <si>
    <t>REASEGUROS</t>
  </si>
  <si>
    <t>Presupuesto Ejecutado (devengado)</t>
  </si>
  <si>
    <t>ENERO</t>
  </si>
  <si>
    <t>Gasto Real 
(C+D)</t>
  </si>
  <si>
    <t>% Gasto Real</t>
  </si>
  <si>
    <t>E-90201</t>
  </si>
  <si>
    <t>SUMAS LIBRES SIN ASIGNACION PRESUPUESTARIA</t>
  </si>
  <si>
    <t>E-902</t>
  </si>
  <si>
    <t>SUMAS SIN ASIGNACION PRESUPUESTARIA</t>
  </si>
  <si>
    <t>E-9</t>
  </si>
  <si>
    <t>CUENTAS ESPECIALES</t>
  </si>
  <si>
    <t>Mes</t>
  </si>
  <si>
    <t>9 CUENTAS ESPECIALES</t>
  </si>
  <si>
    <t>Cuentas Especiales</t>
  </si>
  <si>
    <t>Ejecución Menor al 75%</t>
  </si>
  <si>
    <t>Disponible Mayor al 25%</t>
  </si>
  <si>
    <t>BANCO POPULAR Y DE DESARROLLO COMUNAL. (BPDC) (SEGUN LEY NO. 4351 DEL 11 DE JULIO DE 1969, LEY ORGANICA DEL B.P.D.C.).</t>
  </si>
  <si>
    <t>ORGANIZACION PARA LA COOPERACION Y EL DESARROLLO ECONOMICO (OCDE). (DECRETO EJECUTIVO NO. 37983-COMEX-MP DEL 09/09/2013, PUBLICADO EN LA</t>
  </si>
  <si>
    <t>Ejercício: 2018</t>
  </si>
  <si>
    <t>FEBRERO</t>
  </si>
  <si>
    <t>Presupuesto Utilizado (solicitado + comprometido + rec.mercancía + devengado)</t>
  </si>
  <si>
    <t>MARZO</t>
  </si>
  <si>
    <t/>
  </si>
  <si>
    <t>ABRIL</t>
  </si>
  <si>
    <t>Devengo</t>
  </si>
  <si>
    <t>MAYO</t>
  </si>
  <si>
    <t>JUNIO</t>
  </si>
  <si>
    <t>JULIO</t>
  </si>
  <si>
    <t>AGOSTO</t>
  </si>
  <si>
    <t>SETIEMBRE</t>
  </si>
  <si>
    <t>OCTUBRE</t>
  </si>
  <si>
    <t>NOVIEMBRE</t>
  </si>
  <si>
    <t xml:space="preserve">AL 31 DE DICIEMBRE 2018        </t>
  </si>
  <si>
    <t>DICIEMBRE</t>
  </si>
  <si>
    <t>Cuadro resumen ejecución Titulo 214_2018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</si>
</sst>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Palatino Linotype"/>
      <family val="1"/>
    </font>
    <font>
      <sz val="11"/>
      <color theme="1"/>
      <name val="Palatino Linotype"/>
      <family val="1"/>
    </font>
    <font>
      <sz val="11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1"/>
      <color theme="0"/>
      <name val="Palatino Linotype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6" fillId="4" borderId="0" xfId="0" applyFont="1" applyFill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4" fontId="10" fillId="0" borderId="9" xfId="0" applyNumberFormat="1" applyFont="1" applyBorder="1"/>
    <xf numFmtId="0" fontId="0" fillId="0" borderId="0" xfId="0" applyAlignment="1">
      <alignment horizontal="center"/>
    </xf>
    <xf numFmtId="4" fontId="4" fillId="3" borderId="16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4" borderId="0" xfId="0" applyNumberFormat="1" applyFont="1" applyFill="1" applyAlignment="1">
      <alignment vertical="center"/>
    </xf>
    <xf numFmtId="9" fontId="6" fillId="0" borderId="9" xfId="2" applyFont="1" applyBorder="1" applyAlignment="1">
      <alignment horizontal="center" vertical="center"/>
    </xf>
    <xf numFmtId="9" fontId="4" fillId="3" borderId="16" xfId="2" applyFont="1" applyFill="1" applyBorder="1" applyAlignment="1">
      <alignment horizontal="center" vertical="center"/>
    </xf>
    <xf numFmtId="43" fontId="3" fillId="0" borderId="0" xfId="1" applyFont="1"/>
    <xf numFmtId="0" fontId="11" fillId="0" borderId="9" xfId="0" applyFont="1" applyBorder="1"/>
    <xf numFmtId="4" fontId="4" fillId="0" borderId="9" xfId="0" applyNumberFormat="1" applyFont="1" applyBorder="1" applyAlignment="1">
      <alignment vertical="center"/>
    </xf>
    <xf numFmtId="0" fontId="2" fillId="0" borderId="0" xfId="0" applyFont="1"/>
    <xf numFmtId="0" fontId="0" fillId="0" borderId="0" xfId="0" applyFont="1"/>
    <xf numFmtId="43" fontId="0" fillId="0" borderId="0" xfId="1" applyFont="1"/>
    <xf numFmtId="0" fontId="2" fillId="0" borderId="9" xfId="0" applyFont="1" applyBorder="1" applyAlignment="1">
      <alignment horizontal="left"/>
    </xf>
    <xf numFmtId="43" fontId="0" fillId="0" borderId="9" xfId="1" applyFont="1" applyBorder="1" applyAlignment="1">
      <alignment horizontal="center" vertical="center"/>
    </xf>
    <xf numFmtId="10" fontId="0" fillId="0" borderId="9" xfId="2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6" fillId="0" borderId="9" xfId="2" applyNumberFormat="1" applyFont="1" applyBorder="1" applyAlignment="1">
      <alignment horizontal="center" vertical="center"/>
    </xf>
    <xf numFmtId="164" fontId="4" fillId="3" borderId="16" xfId="2" applyNumberFormat="1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4" fontId="11" fillId="0" borderId="9" xfId="0" applyNumberFormat="1" applyFont="1" applyBorder="1"/>
    <xf numFmtId="0" fontId="8" fillId="0" borderId="0" xfId="0" applyFont="1" applyBorder="1" applyAlignment="1"/>
    <xf numFmtId="0" fontId="8" fillId="0" borderId="7" xfId="0" applyFont="1" applyBorder="1" applyAlignment="1"/>
    <xf numFmtId="0" fontId="9" fillId="0" borderId="0" xfId="0" applyFont="1" applyBorder="1" applyAlignment="1"/>
    <xf numFmtId="0" fontId="9" fillId="0" borderId="7" xfId="0" applyFont="1" applyBorder="1" applyAlignment="1"/>
    <xf numFmtId="0" fontId="8" fillId="0" borderId="0" xfId="0" applyFont="1" applyAlignment="1">
      <alignment horizontal="left" vertical="center"/>
    </xf>
    <xf numFmtId="43" fontId="10" fillId="0" borderId="9" xfId="1" applyFont="1" applyBorder="1"/>
    <xf numFmtId="4" fontId="10" fillId="0" borderId="9" xfId="0" applyNumberFormat="1" applyFont="1" applyBorder="1" applyAlignment="1">
      <alignment horizontal="center"/>
    </xf>
    <xf numFmtId="0" fontId="10" fillId="0" borderId="0" xfId="0" applyFont="1"/>
    <xf numFmtId="43" fontId="10" fillId="0" borderId="0" xfId="1" applyFont="1"/>
    <xf numFmtId="4" fontId="10" fillId="5" borderId="9" xfId="0" applyNumberFormat="1" applyFont="1" applyFill="1" applyBorder="1"/>
    <xf numFmtId="4" fontId="11" fillId="5" borderId="9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vertical="center" readingOrder="1"/>
    </xf>
    <xf numFmtId="10" fontId="0" fillId="0" borderId="0" xfId="0" applyNumberFormat="1"/>
    <xf numFmtId="10" fontId="10" fillId="0" borderId="9" xfId="2" applyNumberFormat="1" applyFont="1" applyBorder="1" applyAlignment="1">
      <alignment horizontal="center"/>
    </xf>
    <xf numFmtId="10" fontId="6" fillId="0" borderId="9" xfId="2" applyNumberFormat="1" applyFont="1" applyBorder="1" applyAlignment="1">
      <alignment horizontal="center" vertical="center"/>
    </xf>
    <xf numFmtId="164" fontId="0" fillId="0" borderId="0" xfId="2" applyNumberFormat="1" applyFont="1"/>
    <xf numFmtId="43" fontId="14" fillId="6" borderId="9" xfId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left" vertical="center"/>
    </xf>
    <xf numFmtId="4" fontId="15" fillId="6" borderId="9" xfId="0" applyNumberFormat="1" applyFont="1" applyFill="1" applyBorder="1"/>
    <xf numFmtId="10" fontId="15" fillId="6" borderId="9" xfId="2" applyNumberFormat="1" applyFont="1" applyFill="1" applyBorder="1" applyAlignment="1">
      <alignment horizontal="center"/>
    </xf>
    <xf numFmtId="0" fontId="15" fillId="6" borderId="9" xfId="0" applyFont="1" applyFill="1" applyBorder="1" applyAlignment="1">
      <alignment vertical="center" wrapText="1" readingOrder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readingOrder="1"/>
    </xf>
    <xf numFmtId="0" fontId="13" fillId="6" borderId="0" xfId="0" applyFont="1" applyFill="1"/>
    <xf numFmtId="0" fontId="15" fillId="6" borderId="9" xfId="0" applyFont="1" applyFill="1" applyBorder="1" applyAlignment="1">
      <alignment horizontal="center" vertical="center" wrapText="1" readingOrder="1"/>
    </xf>
    <xf numFmtId="0" fontId="0" fillId="7" borderId="0" xfId="0" applyFill="1"/>
    <xf numFmtId="0" fontId="0" fillId="8" borderId="0" xfId="0" applyFill="1"/>
    <xf numFmtId="0" fontId="16" fillId="0" borderId="0" xfId="0" applyFont="1"/>
    <xf numFmtId="10" fontId="11" fillId="0" borderId="9" xfId="2" applyNumberFormat="1" applyFont="1" applyBorder="1"/>
    <xf numFmtId="10" fontId="10" fillId="0" borderId="9" xfId="2" applyNumberFormat="1" applyFont="1" applyBorder="1"/>
    <xf numFmtId="10" fontId="4" fillId="0" borderId="9" xfId="2" applyNumberFormat="1" applyFont="1" applyBorder="1" applyAlignment="1">
      <alignment horizontal="center" vertical="center"/>
    </xf>
    <xf numFmtId="10" fontId="4" fillId="3" borderId="16" xfId="2" applyNumberFormat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4" fontId="18" fillId="0" borderId="9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19" fillId="0" borderId="9" xfId="0" applyNumberFormat="1" applyFont="1" applyBorder="1" applyAlignment="1">
      <alignment vertical="center"/>
    </xf>
    <xf numFmtId="10" fontId="19" fillId="0" borderId="9" xfId="2" applyNumberFormat="1" applyFont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4" fontId="17" fillId="6" borderId="16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0" fillId="0" borderId="13" xfId="0" applyFont="1" applyBorder="1" applyAlignment="1">
      <alignment vertical="center" wrapText="1"/>
    </xf>
    <xf numFmtId="164" fontId="19" fillId="0" borderId="9" xfId="2" applyNumberFormat="1" applyFont="1" applyBorder="1" applyAlignment="1">
      <alignment horizontal="center" vertical="center"/>
    </xf>
    <xf numFmtId="4" fontId="19" fillId="4" borderId="0" xfId="0" applyNumberFormat="1" applyFont="1" applyFill="1" applyAlignment="1">
      <alignment vertical="center"/>
    </xf>
    <xf numFmtId="4" fontId="0" fillId="0" borderId="0" xfId="0" applyNumberFormat="1" applyFont="1"/>
    <xf numFmtId="0" fontId="15" fillId="6" borderId="23" xfId="0" applyFont="1" applyFill="1" applyBorder="1" applyAlignment="1">
      <alignment vertical="center" wrapText="1" readingOrder="1"/>
    </xf>
    <xf numFmtId="40" fontId="0" fillId="0" borderId="4" xfId="0" applyNumberFormat="1" applyBorder="1"/>
    <xf numFmtId="40" fontId="10" fillId="0" borderId="9" xfId="0" applyNumberFormat="1" applyFont="1" applyBorder="1"/>
    <xf numFmtId="40" fontId="11" fillId="0" borderId="9" xfId="0" applyNumberFormat="1" applyFont="1" applyBorder="1"/>
    <xf numFmtId="40" fontId="0" fillId="0" borderId="0" xfId="0" applyNumberFormat="1"/>
    <xf numFmtId="40" fontId="16" fillId="0" borderId="0" xfId="0" applyNumberFormat="1" applyFont="1"/>
    <xf numFmtId="40" fontId="0" fillId="0" borderId="0" xfId="0" applyNumberFormat="1" applyFont="1"/>
    <xf numFmtId="164" fontId="19" fillId="0" borderId="9" xfId="2" applyNumberFormat="1" applyFont="1" applyBorder="1" applyAlignment="1">
      <alignment vertical="center"/>
    </xf>
    <xf numFmtId="164" fontId="15" fillId="6" borderId="9" xfId="2" applyNumberFormat="1" applyFont="1" applyFill="1" applyBorder="1"/>
    <xf numFmtId="49" fontId="10" fillId="0" borderId="9" xfId="0" applyNumberFormat="1" applyFont="1" applyBorder="1" applyAlignment="1">
      <alignment horizontal="right" vertical="center" wrapText="1" readingOrder="1"/>
    </xf>
    <xf numFmtId="0" fontId="13" fillId="0" borderId="0" xfId="0" applyFont="1"/>
    <xf numFmtId="43" fontId="0" fillId="0" borderId="9" xfId="1" applyFont="1" applyBorder="1"/>
    <xf numFmtId="0" fontId="13" fillId="5" borderId="0" xfId="0" applyFont="1" applyFill="1"/>
    <xf numFmtId="0" fontId="0" fillId="5" borderId="0" xfId="0" applyFill="1"/>
    <xf numFmtId="0" fontId="22" fillId="6" borderId="9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 wrapText="1"/>
    </xf>
    <xf numFmtId="0" fontId="15" fillId="6" borderId="25" xfId="0" applyNumberFormat="1" applyFont="1" applyFill="1" applyBorder="1" applyAlignment="1">
      <alignment horizontal="center" vertical="center" wrapText="1" readingOrder="1"/>
    </xf>
    <xf numFmtId="43" fontId="19" fillId="0" borderId="9" xfId="1" applyFont="1" applyBorder="1" applyAlignment="1">
      <alignment vertical="center"/>
    </xf>
    <xf numFmtId="43" fontId="15" fillId="6" borderId="9" xfId="1" applyFont="1" applyFill="1" applyBorder="1"/>
    <xf numFmtId="0" fontId="2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left" vertical="top" wrapText="1"/>
    </xf>
    <xf numFmtId="0" fontId="10" fillId="0" borderId="9" xfId="0" applyNumberFormat="1" applyFont="1" applyBorder="1"/>
    <xf numFmtId="0" fontId="2" fillId="0" borderId="0" xfId="0" applyNumberFormat="1" applyFont="1"/>
    <xf numFmtId="0" fontId="11" fillId="0" borderId="9" xfId="0" applyNumberFormat="1" applyFont="1" applyBorder="1"/>
    <xf numFmtId="0" fontId="0" fillId="0" borderId="0" xfId="0" applyNumberFormat="1" applyFont="1"/>
    <xf numFmtId="0" fontId="0" fillId="0" borderId="0" xfId="0" applyNumberFormat="1"/>
    <xf numFmtId="0" fontId="7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43" fontId="18" fillId="0" borderId="9" xfId="1" applyFont="1" applyBorder="1" applyAlignment="1">
      <alignment vertical="center"/>
    </xf>
    <xf numFmtId="0" fontId="24" fillId="6" borderId="9" xfId="0" applyFont="1" applyFill="1" applyBorder="1" applyAlignment="1">
      <alignment horizontal="center" vertical="center" wrapText="1"/>
    </xf>
    <xf numFmtId="49" fontId="15" fillId="6" borderId="25" xfId="0" applyNumberFormat="1" applyFont="1" applyFill="1" applyBorder="1" applyAlignment="1">
      <alignment horizontal="center" vertical="center" wrapText="1" readingOrder="1"/>
    </xf>
    <xf numFmtId="0" fontId="10" fillId="0" borderId="24" xfId="0" applyFont="1" applyBorder="1"/>
    <xf numFmtId="0" fontId="5" fillId="0" borderId="9" xfId="0" applyFont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4" fontId="24" fillId="6" borderId="9" xfId="0" applyNumberFormat="1" applyFont="1" applyFill="1" applyBorder="1" applyAlignment="1">
      <alignment vertical="center"/>
    </xf>
    <xf numFmtId="9" fontId="24" fillId="6" borderId="9" xfId="2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5" borderId="0" xfId="0" applyFont="1" applyFill="1"/>
    <xf numFmtId="0" fontId="16" fillId="5" borderId="0" xfId="0" applyFont="1" applyFill="1"/>
    <xf numFmtId="43" fontId="16" fillId="5" borderId="0" xfId="1" applyFont="1" applyFill="1"/>
    <xf numFmtId="4" fontId="19" fillId="0" borderId="9" xfId="2" applyNumberFormat="1" applyFont="1" applyBorder="1" applyAlignment="1">
      <alignment vertical="center"/>
    </xf>
    <xf numFmtId="10" fontId="0" fillId="0" borderId="0" xfId="2" applyNumberFormat="1" applyFont="1"/>
    <xf numFmtId="43" fontId="2" fillId="0" borderId="0" xfId="1" applyFont="1"/>
    <xf numFmtId="43" fontId="27" fillId="0" borderId="0" xfId="1" applyFont="1"/>
    <xf numFmtId="4" fontId="2" fillId="0" borderId="0" xfId="0" applyNumberFormat="1" applyFont="1"/>
    <xf numFmtId="9" fontId="0" fillId="0" borderId="0" xfId="2" applyFont="1"/>
    <xf numFmtId="4" fontId="10" fillId="0" borderId="9" xfId="0" applyNumberFormat="1" applyFont="1" applyFill="1" applyBorder="1"/>
    <xf numFmtId="4" fontId="11" fillId="0" borderId="9" xfId="0" applyNumberFormat="1" applyFont="1" applyFill="1" applyBorder="1"/>
    <xf numFmtId="15" fontId="13" fillId="5" borderId="0" xfId="0" applyNumberFormat="1" applyFont="1" applyFill="1"/>
    <xf numFmtId="49" fontId="13" fillId="5" borderId="0" xfId="0" applyNumberFormat="1" applyFont="1" applyFill="1"/>
    <xf numFmtId="164" fontId="13" fillId="5" borderId="0" xfId="1" applyNumberFormat="1" applyFont="1" applyFill="1"/>
    <xf numFmtId="43" fontId="13" fillId="5" borderId="0" xfId="1" applyFont="1" applyFill="1"/>
    <xf numFmtId="9" fontId="19" fillId="0" borderId="9" xfId="2" applyNumberFormat="1" applyFont="1" applyBorder="1" applyAlignment="1">
      <alignment horizontal="center" vertical="center"/>
    </xf>
    <xf numFmtId="164" fontId="15" fillId="6" borderId="9" xfId="2" applyNumberFormat="1" applyFont="1" applyFill="1" applyBorder="1" applyAlignment="1">
      <alignment horizontal="center"/>
    </xf>
    <xf numFmtId="9" fontId="15" fillId="6" borderId="9" xfId="2" applyNumberFormat="1" applyFont="1" applyFill="1" applyBorder="1" applyAlignment="1">
      <alignment horizontal="center"/>
    </xf>
    <xf numFmtId="164" fontId="11" fillId="0" borderId="9" xfId="2" applyNumberFormat="1" applyFont="1" applyBorder="1"/>
    <xf numFmtId="164" fontId="10" fillId="0" borderId="9" xfId="2" applyNumberFormat="1" applyFont="1" applyBorder="1"/>
    <xf numFmtId="9" fontId="18" fillId="0" borderId="9" xfId="2" applyNumberFormat="1" applyFont="1" applyBorder="1" applyAlignment="1">
      <alignment horizontal="center" vertical="center"/>
    </xf>
    <xf numFmtId="9" fontId="0" fillId="0" borderId="9" xfId="2" applyNumberFormat="1" applyFont="1" applyBorder="1" applyAlignment="1">
      <alignment horizontal="center"/>
    </xf>
    <xf numFmtId="0" fontId="24" fillId="6" borderId="9" xfId="0" applyFont="1" applyFill="1" applyBorder="1" applyAlignment="1">
      <alignment vertical="center" wrapText="1"/>
    </xf>
    <xf numFmtId="164" fontId="24" fillId="6" borderId="9" xfId="2" applyNumberFormat="1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vertical="center"/>
    </xf>
    <xf numFmtId="0" fontId="17" fillId="9" borderId="23" xfId="0" applyFont="1" applyFill="1" applyBorder="1" applyAlignment="1">
      <alignment vertical="center"/>
    </xf>
    <xf numFmtId="4" fontId="17" fillId="9" borderId="9" xfId="0" applyNumberFormat="1" applyFont="1" applyFill="1" applyBorder="1" applyAlignment="1">
      <alignment vertical="center"/>
    </xf>
    <xf numFmtId="9" fontId="17" fillId="9" borderId="9" xfId="2" applyNumberFormat="1" applyFont="1" applyFill="1" applyBorder="1" applyAlignment="1">
      <alignment horizontal="center" vertical="center"/>
    </xf>
    <xf numFmtId="43" fontId="17" fillId="9" borderId="9" xfId="1" applyFont="1" applyFill="1" applyBorder="1" applyAlignment="1">
      <alignment vertical="center"/>
    </xf>
    <xf numFmtId="40" fontId="17" fillId="9" borderId="9" xfId="0" applyNumberFormat="1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 wrapText="1"/>
    </xf>
    <xf numFmtId="9" fontId="6" fillId="0" borderId="9" xfId="2" applyNumberFormat="1" applyFont="1" applyBorder="1" applyAlignment="1">
      <alignment horizontal="center" vertical="center"/>
    </xf>
    <xf numFmtId="9" fontId="24" fillId="6" borderId="9" xfId="2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43" fontId="19" fillId="0" borderId="28" xfId="1" applyFont="1" applyBorder="1" applyAlignment="1">
      <alignment vertical="center"/>
    </xf>
    <xf numFmtId="9" fontId="17" fillId="6" borderId="16" xfId="2" applyFont="1" applyFill="1" applyBorder="1" applyAlignment="1">
      <alignment horizontal="center" vertical="center"/>
    </xf>
    <xf numFmtId="9" fontId="0" fillId="0" borderId="0" xfId="2" applyNumberFormat="1" applyFont="1"/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0" fillId="10" borderId="9" xfId="0" applyFill="1" applyBorder="1" applyAlignment="1">
      <alignment vertical="top"/>
    </xf>
    <xf numFmtId="4" fontId="0" fillId="10" borderId="9" xfId="0" applyNumberFormat="1" applyFill="1" applyBorder="1" applyAlignment="1">
      <alignment horizontal="right" vertical="top"/>
    </xf>
    <xf numFmtId="0" fontId="0" fillId="11" borderId="9" xfId="0" applyFill="1" applyBorder="1" applyAlignment="1">
      <alignment vertical="top"/>
    </xf>
    <xf numFmtId="9" fontId="19" fillId="0" borderId="9" xfId="2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40" fontId="17" fillId="6" borderId="11" xfId="0" applyNumberFormat="1" applyFont="1" applyFill="1" applyBorder="1" applyAlignment="1">
      <alignment horizontal="center" vertical="center" wrapText="1"/>
    </xf>
    <xf numFmtId="40" fontId="17" fillId="6" borderId="9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top" wrapText="1" readingOrder="1"/>
    </xf>
    <xf numFmtId="0" fontId="10" fillId="0" borderId="23" xfId="0" applyFont="1" applyBorder="1" applyAlignment="1">
      <alignment horizontal="left" vertical="top" wrapText="1" readingOrder="1"/>
    </xf>
    <xf numFmtId="0" fontId="10" fillId="0" borderId="24" xfId="0" applyFont="1" applyBorder="1" applyAlignment="1">
      <alignment horizontal="center" vertical="top" wrapText="1" readingOrder="1"/>
    </xf>
    <xf numFmtId="0" fontId="10" fillId="0" borderId="23" xfId="0" applyFont="1" applyBorder="1" applyAlignment="1">
      <alignment horizontal="center" vertical="top" wrapText="1" readingOrder="1"/>
    </xf>
    <xf numFmtId="0" fontId="15" fillId="6" borderId="29" xfId="0" applyFont="1" applyFill="1" applyBorder="1" applyAlignment="1">
      <alignment horizontal="center" vertical="center" wrapText="1" readingOrder="1"/>
    </xf>
    <xf numFmtId="0" fontId="15" fillId="6" borderId="30" xfId="0" applyFont="1" applyFill="1" applyBorder="1" applyAlignment="1">
      <alignment horizontal="center" vertical="center" wrapText="1" readingOrder="1"/>
    </xf>
    <xf numFmtId="4" fontId="15" fillId="6" borderId="31" xfId="0" applyNumberFormat="1" applyFont="1" applyFill="1" applyBorder="1" applyAlignment="1">
      <alignment horizontal="center" vertical="center" wrapText="1"/>
    </xf>
    <xf numFmtId="4" fontId="15" fillId="6" borderId="32" xfId="0" applyNumberFormat="1" applyFont="1" applyFill="1" applyBorder="1" applyAlignment="1">
      <alignment horizontal="center" vertical="center" wrapText="1"/>
    </xf>
    <xf numFmtId="4" fontId="15" fillId="6" borderId="28" xfId="0" applyNumberFormat="1" applyFont="1" applyFill="1" applyBorder="1" applyAlignment="1">
      <alignment horizontal="center" vertical="center" wrapText="1"/>
    </xf>
    <xf numFmtId="4" fontId="15" fillId="6" borderId="26" xfId="0" applyNumberFormat="1" applyFont="1" applyFill="1" applyBorder="1" applyAlignment="1">
      <alignment horizontal="center" vertical="center" wrapText="1"/>
    </xf>
    <xf numFmtId="49" fontId="15" fillId="6" borderId="24" xfId="0" applyNumberFormat="1" applyFont="1" applyFill="1" applyBorder="1" applyAlignment="1">
      <alignment horizontal="center" vertical="center" wrapText="1" readingOrder="1"/>
    </xf>
    <xf numFmtId="49" fontId="15" fillId="6" borderId="23" xfId="0" applyNumberFormat="1" applyFont="1" applyFill="1" applyBorder="1" applyAlignment="1">
      <alignment horizontal="center" vertical="center" wrapText="1" readingOrder="1"/>
    </xf>
    <xf numFmtId="0" fontId="15" fillId="6" borderId="24" xfId="0" applyNumberFormat="1" applyFont="1" applyFill="1" applyBorder="1" applyAlignment="1">
      <alignment horizontal="center" vertical="center" wrapText="1" readingOrder="1"/>
    </xf>
    <xf numFmtId="0" fontId="15" fillId="6" borderId="23" xfId="0" applyNumberFormat="1" applyFont="1" applyFill="1" applyBorder="1" applyAlignment="1">
      <alignment horizontal="center" vertical="center" wrapText="1" readingOrder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 readingOrder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541225729886639E-2"/>
          <c:y val="9.5364033797205122E-2"/>
          <c:w val="0.88483325877790919"/>
          <c:h val="0.612968086392709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4.8917101014115075E-2"/>
                  <c:y val="-4.156314985238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85390904960901"/>
                  <c:y val="-3.1948203286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95044229013358E-2"/>
                  <c:y val="-2.530714222345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942661297643771E-3"/>
                  <c:y val="-3.7415740767065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21715469014919E-2"/>
                  <c:y val="-1.376132804779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Estado'!$B$19:$B$23</c:f>
              <c:strCache>
                <c:ptCount val="5"/>
                <c:pt idx="0">
                  <c:v>Remuneraciones + Cargas Patronales</c:v>
                </c:pt>
                <c:pt idx="1">
                  <c:v>Gasto Operativo</c:v>
                </c:pt>
                <c:pt idx="2">
                  <c:v>Inversión publica</c:v>
                </c:pt>
                <c:pt idx="3">
                  <c:v>Transferencias Corrientes</c:v>
                </c:pt>
                <c:pt idx="4">
                  <c:v>Transferencias de Capital</c:v>
                </c:pt>
              </c:strCache>
            </c:strRef>
          </c:cat>
          <c:val>
            <c:numRef>
              <c:f>'Resumen Estado'!$I$19:$I$23</c:f>
              <c:numCache>
                <c:formatCode>0%</c:formatCode>
                <c:ptCount val="5"/>
                <c:pt idx="0">
                  <c:v>0.95619334212671503</c:v>
                </c:pt>
                <c:pt idx="1">
                  <c:v>0.84627839127795768</c:v>
                </c:pt>
                <c:pt idx="2">
                  <c:v>0.70716045914129455</c:v>
                </c:pt>
                <c:pt idx="3">
                  <c:v>0.91327956480130523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46576793079717E-2"/>
          <c:y val="0.77529940245724582"/>
          <c:w val="0.77541883055053373"/>
          <c:h val="0.20180140328185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COMPARATIVO!$A$44</c:f>
              <c:strCache>
                <c:ptCount val="1"/>
                <c:pt idx="0">
                  <c:v>PROG 779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(COMPARATIVO!$C$44,COMPARATIVO!$E$44)</c:f>
              <c:numCache>
                <c:formatCode>0%</c:formatCode>
                <c:ptCount val="2"/>
                <c:pt idx="0">
                  <c:v>0.89499962324247895</c:v>
                </c:pt>
                <c:pt idx="1">
                  <c:v>0.89184335500275358</c:v>
                </c:pt>
              </c:numCache>
            </c:numRef>
          </c:val>
        </c:ser>
        <c:ser>
          <c:idx val="1"/>
          <c:order val="1"/>
          <c:tx>
            <c:strRef>
              <c:f>COMPARATIVO!$A$45</c:f>
              <c:strCache>
                <c:ptCount val="1"/>
                <c:pt idx="0">
                  <c:v>PROG 780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(COMPARATIVO!$C$45,COMPARATIVO!$E$45)</c:f>
              <c:numCache>
                <c:formatCode>0%</c:formatCode>
                <c:ptCount val="2"/>
                <c:pt idx="0">
                  <c:v>0.90653598428089932</c:v>
                </c:pt>
                <c:pt idx="1">
                  <c:v>0.85706313236407194</c:v>
                </c:pt>
              </c:numCache>
            </c:numRef>
          </c:val>
        </c:ser>
        <c:ser>
          <c:idx val="2"/>
          <c:order val="2"/>
          <c:tx>
            <c:strRef>
              <c:f>COMPARATIVO!$A$46</c:f>
              <c:strCache>
                <c:ptCount val="1"/>
                <c:pt idx="0">
                  <c:v>PROG 781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(COMPARATIVO!$C$46,COMPARATIVO!$E$46)</c:f>
              <c:numCache>
                <c:formatCode>0%</c:formatCode>
                <c:ptCount val="2"/>
                <c:pt idx="0">
                  <c:v>0.91642886961981485</c:v>
                </c:pt>
                <c:pt idx="1">
                  <c:v>0.86577688200205982</c:v>
                </c:pt>
              </c:numCache>
            </c:numRef>
          </c:val>
        </c:ser>
        <c:ser>
          <c:idx val="3"/>
          <c:order val="3"/>
          <c:tx>
            <c:strRef>
              <c:f>COMPARATIVO!$A$47</c:f>
              <c:strCache>
                <c:ptCount val="1"/>
                <c:pt idx="0">
                  <c:v>PROG 783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(COMPARATIVO!$C$47,COMPARATIVO!$E$47)</c:f>
              <c:numCache>
                <c:formatCode>0%</c:formatCode>
                <c:ptCount val="2"/>
                <c:pt idx="0">
                  <c:v>0.91824714655403794</c:v>
                </c:pt>
                <c:pt idx="1">
                  <c:v>0.82122340093899293</c:v>
                </c:pt>
              </c:numCache>
            </c:numRef>
          </c:val>
        </c:ser>
        <c:ser>
          <c:idx val="4"/>
          <c:order val="4"/>
          <c:tx>
            <c:strRef>
              <c:f>COMPARATIVO!$A$48</c:f>
              <c:strCache>
                <c:ptCount val="1"/>
                <c:pt idx="0">
                  <c:v>PROG 784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(COMPARATIVO!$C$48,COMPARATIVO!$E$48)</c:f>
              <c:numCache>
                <c:formatCode>0%</c:formatCode>
                <c:ptCount val="2"/>
                <c:pt idx="0">
                  <c:v>0.96481758095528558</c:v>
                </c:pt>
                <c:pt idx="1">
                  <c:v>0.92554579787461322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718736"/>
        <c:axId val="411719296"/>
      </c:barChart>
      <c:catAx>
        <c:axId val="41171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1719296"/>
        <c:crosses val="autoZero"/>
        <c:auto val="1"/>
        <c:lblAlgn val="ctr"/>
        <c:lblOffset val="100"/>
        <c:noMultiLvlLbl val="0"/>
      </c:catAx>
      <c:valAx>
        <c:axId val="4117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171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CONSOLIDADO</a:t>
            </a:r>
          </a:p>
          <a:p>
            <a:pPr>
              <a:defRPr/>
            </a:pPr>
            <a:r>
              <a:rPr lang="es-CR"/>
              <a:t>Devengado- Disponible Presupuestario</a:t>
            </a:r>
          </a:p>
        </c:rich>
      </c:tx>
      <c:layout>
        <c:manualLayout>
          <c:xMode val="edge"/>
          <c:yMode val="edge"/>
          <c:x val="0.17697849266167934"/>
          <c:y val="2.5127644758690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'COMPORT. RESUMEN'!$K$2</c:f>
              <c:strCache>
                <c:ptCount val="1"/>
                <c:pt idx="0">
                  <c:v>Devengado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'COMPORT. RESUMEN'!$L$4:$L$9</c:f>
              <c:numCache>
                <c:formatCode>0.00%</c:formatCode>
                <c:ptCount val="6"/>
                <c:pt idx="0">
                  <c:v>0.95628234985036342</c:v>
                </c:pt>
                <c:pt idx="1">
                  <c:v>0.80630522091713375</c:v>
                </c:pt>
                <c:pt idx="2">
                  <c:v>0.88828628215645444</c:v>
                </c:pt>
                <c:pt idx="3">
                  <c:v>0.70716045914129455</c:v>
                </c:pt>
                <c:pt idx="4">
                  <c:v>0.91601618688969788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1"/>
          <c:tx>
            <c:strRef>
              <c:f>'COMPORT. RESUMEN'!$O$2</c:f>
              <c:strCache>
                <c:ptCount val="1"/>
                <c:pt idx="0">
                  <c:v>Disp. Pre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'COMPORT. RESUMEN'!$P$4:$P$9</c:f>
              <c:numCache>
                <c:formatCode>0.00%</c:formatCode>
                <c:ptCount val="6"/>
                <c:pt idx="0">
                  <c:v>4.3717650149636599E-2</c:v>
                </c:pt>
                <c:pt idx="1">
                  <c:v>7.8383200501231959E-2</c:v>
                </c:pt>
                <c:pt idx="2">
                  <c:v>3.3693284131592664E-2</c:v>
                </c:pt>
                <c:pt idx="3">
                  <c:v>9.2747052438787905E-2</c:v>
                </c:pt>
                <c:pt idx="4">
                  <c:v>6.5234253166676193E-2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3415600"/>
        <c:axId val="283410000"/>
      </c:barChart>
      <c:catAx>
        <c:axId val="28341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83410000"/>
        <c:crosses val="autoZero"/>
        <c:auto val="1"/>
        <c:lblAlgn val="ctr"/>
        <c:lblOffset val="100"/>
        <c:noMultiLvlLbl val="0"/>
      </c:catAx>
      <c:valAx>
        <c:axId val="28341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8341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Utilizado,</a:t>
            </a:r>
            <a:r>
              <a:rPr lang="en-US" baseline="0"/>
              <a:t> </a:t>
            </a:r>
            <a:r>
              <a:rPr lang="en-US"/>
              <a:t>Ejecutado Y</a:t>
            </a:r>
            <a:r>
              <a:rPr lang="en-US" baseline="0"/>
              <a:t> Disponible</a:t>
            </a:r>
            <a:r>
              <a:rPr lang="en-US"/>
              <a:t> 2018</a:t>
            </a:r>
          </a:p>
          <a:p>
            <a:pPr>
              <a:defRPr/>
            </a:pPr>
            <a:r>
              <a:rPr lang="en-US"/>
              <a:t>Consolidado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MENSUAL!$C$2</c:f>
              <c:strCache>
                <c:ptCount val="1"/>
                <c:pt idx="0">
                  <c:v>Presupuesto Ejecutado (devengado)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MENSUAL!$A$3:$A$15</c15:sqref>
                  </c15:fullRef>
                </c:ext>
              </c:extLst>
              <c:f>MENSUAL!$A$4:$A$15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MENSUAL!$C$3:$C$15</c15:sqref>
                  </c15:fullRef>
                </c:ext>
              </c:extLst>
              <c:f>MENSUAL!$C$4:$C$15</c:f>
              <c:numCache>
                <c:formatCode>0.00%</c:formatCode>
                <c:ptCount val="12"/>
                <c:pt idx="0">
                  <c:v>8.2191113884377734E-2</c:v>
                </c:pt>
                <c:pt idx="1">
                  <c:v>0.14233704145987611</c:v>
                </c:pt>
                <c:pt idx="2">
                  <c:v>0.1967294830040785</c:v>
                </c:pt>
                <c:pt idx="3">
                  <c:v>0.25859620385971333</c:v>
                </c:pt>
                <c:pt idx="4">
                  <c:v>0.32211938617488262</c:v>
                </c:pt>
                <c:pt idx="5">
                  <c:v>0.38872695555501752</c:v>
                </c:pt>
                <c:pt idx="6">
                  <c:v>0.44563946683373717</c:v>
                </c:pt>
                <c:pt idx="7">
                  <c:v>0.51707991718764812</c:v>
                </c:pt>
                <c:pt idx="8">
                  <c:v>0.58915874771246246</c:v>
                </c:pt>
                <c:pt idx="9">
                  <c:v>0.65667856852072304</c:v>
                </c:pt>
                <c:pt idx="10">
                  <c:v>0.74500461009586949</c:v>
                </c:pt>
                <c:pt idx="11">
                  <c:v>0.92211817126674589</c:v>
                </c:pt>
              </c:numCache>
            </c:numRef>
          </c:val>
        </c:ser>
        <c:ser>
          <c:idx val="0"/>
          <c:order val="1"/>
          <c:tx>
            <c:strRef>
              <c:f>MENSUAL!$B$2</c:f>
              <c:strCache>
                <c:ptCount val="1"/>
                <c:pt idx="0">
                  <c:v>Presupuesto Utilizado (solicitado + comprometido + rec.mercancía + devengado)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MENSUAL!$A$3:$A$15</c15:sqref>
                  </c15:fullRef>
                </c:ext>
              </c:extLst>
              <c:f>MENSUAL!$A$4:$A$15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MENSUAL!$B$3:$B$15</c15:sqref>
                  </c15:fullRef>
                </c:ext>
              </c:extLst>
              <c:f>MENSUAL!$B$4:$B$15</c:f>
              <c:numCache>
                <c:formatCode>0.00%</c:formatCode>
                <c:ptCount val="12"/>
                <c:pt idx="0">
                  <c:v>0.22775123044995979</c:v>
                </c:pt>
                <c:pt idx="1">
                  <c:v>0.2627315145902902</c:v>
                </c:pt>
                <c:pt idx="2">
                  <c:v>0.31642449147007073</c:v>
                </c:pt>
                <c:pt idx="3">
                  <c:v>0.3777756098375416</c:v>
                </c:pt>
                <c:pt idx="4">
                  <c:v>0.43897842319494929</c:v>
                </c:pt>
                <c:pt idx="5">
                  <c:v>0.49015472477167471</c:v>
                </c:pt>
                <c:pt idx="6">
                  <c:v>0.55932522075834679</c:v>
                </c:pt>
                <c:pt idx="7">
                  <c:v>0.60803839183098474</c:v>
                </c:pt>
                <c:pt idx="8">
                  <c:v>0.66596485347274281</c:v>
                </c:pt>
                <c:pt idx="9">
                  <c:v>0.73248854304978206</c:v>
                </c:pt>
                <c:pt idx="10">
                  <c:v>0.82797542115566669</c:v>
                </c:pt>
                <c:pt idx="11">
                  <c:v>0.95145520893861579</c:v>
                </c:pt>
              </c:numCache>
            </c:numRef>
          </c:val>
        </c:ser>
        <c:ser>
          <c:idx val="2"/>
          <c:order val="2"/>
          <c:tx>
            <c:strRef>
              <c:f>MENSUAL!$D$2</c:f>
              <c:strCache>
                <c:ptCount val="1"/>
                <c:pt idx="0">
                  <c:v>Disponible Presupuestario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MENSUAL!$A$3:$A$15</c15:sqref>
                  </c15:fullRef>
                </c:ext>
              </c:extLst>
              <c:f>MENSUAL!$A$4:$A$15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MENSUAL!$D$3:$D$15</c15:sqref>
                  </c15:fullRef>
                </c:ext>
              </c:extLst>
              <c:f>MENSUAL!$D$4:$D$15</c:f>
              <c:numCache>
                <c:formatCode>0.00%</c:formatCode>
                <c:ptCount val="12"/>
                <c:pt idx="0">
                  <c:v>0.77224876955004018</c:v>
                </c:pt>
                <c:pt idx="1">
                  <c:v>0.73726848540970991</c:v>
                </c:pt>
                <c:pt idx="2">
                  <c:v>0.68357550852992932</c:v>
                </c:pt>
                <c:pt idx="3">
                  <c:v>0.62222439016245845</c:v>
                </c:pt>
                <c:pt idx="4">
                  <c:v>0.56102157680505083</c:v>
                </c:pt>
                <c:pt idx="5">
                  <c:v>0.50984527522832535</c:v>
                </c:pt>
                <c:pt idx="6">
                  <c:v>0.44067477924165321</c:v>
                </c:pt>
                <c:pt idx="7">
                  <c:v>0.39196160816901515</c:v>
                </c:pt>
                <c:pt idx="8">
                  <c:v>0.33403514652725719</c:v>
                </c:pt>
                <c:pt idx="9">
                  <c:v>0.26751145695021805</c:v>
                </c:pt>
                <c:pt idx="10">
                  <c:v>0.17202457884433331</c:v>
                </c:pt>
                <c:pt idx="11">
                  <c:v>4.8544791061384186E-2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83412240"/>
        <c:axId val="283411120"/>
      </c:barChart>
      <c:catAx>
        <c:axId val="2834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83411120"/>
        <c:crosses val="autoZero"/>
        <c:auto val="1"/>
        <c:lblAlgn val="ctr"/>
        <c:lblOffset val="100"/>
        <c:noMultiLvlLbl val="0"/>
      </c:catAx>
      <c:valAx>
        <c:axId val="2834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8341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096828039631135E-3"/>
          <c:y val="5.1288230598760101E-2"/>
          <c:w val="0.97235045917101015"/>
          <c:h val="0.92667885659492966"/>
        </c:manualLayout>
      </c:layout>
      <c:pie3DChart>
        <c:varyColors val="1"/>
        <c:ser>
          <c:idx val="0"/>
          <c:order val="0"/>
          <c:tx>
            <c:strRef>
              <c:f>'ANALISIS POR PROG'!$C$5</c:f>
              <c:strCache>
                <c:ptCount val="1"/>
                <c:pt idx="0">
                  <c:v>Apropiación Actual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869387495592524E-2"/>
                  <c:y val="-7.9035108523514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748686588208604E-2"/>
                  <c:y val="-8.48319549533697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070138942708965E-2"/>
                  <c:y val="-4.38766012031816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520810031983145E-2"/>
                  <c:y val="-7.41494464803494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PROG'!$D$6:$D$10</c:f>
              <c:numCache>
                <c:formatCode>0%</c:formatCode>
                <c:ptCount val="5"/>
                <c:pt idx="0">
                  <c:v>1.9424944991640266E-2</c:v>
                </c:pt>
                <c:pt idx="1">
                  <c:v>7.7036891782924508E-3</c:v>
                </c:pt>
                <c:pt idx="2">
                  <c:v>7.9976108610384122E-2</c:v>
                </c:pt>
                <c:pt idx="3">
                  <c:v>0.79501675339046551</c:v>
                </c:pt>
                <c:pt idx="4">
                  <c:v>9.78785038292177E-2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'ANALISIS POR PROG'!$L$5</c:f>
              <c:strCache>
                <c:ptCount val="1"/>
                <c:pt idx="0">
                  <c:v>Devengado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'ANALISIS POR PROG'!$B$6:$B$10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PROG'!$M$6:$M$10</c:f>
              <c:numCache>
                <c:formatCode>0%</c:formatCode>
                <c:ptCount val="5"/>
                <c:pt idx="0">
                  <c:v>0.89499962324247895</c:v>
                </c:pt>
                <c:pt idx="1">
                  <c:v>0.90653598428089932</c:v>
                </c:pt>
                <c:pt idx="2">
                  <c:v>0.91642886961981485</c:v>
                </c:pt>
                <c:pt idx="3">
                  <c:v>0.91824714655403794</c:v>
                </c:pt>
                <c:pt idx="4">
                  <c:v>0.96481758095528558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COMPROMISO</a:t>
            </a:r>
          </a:p>
        </c:rich>
      </c:tx>
      <c:layout>
        <c:manualLayout>
          <c:xMode val="edge"/>
          <c:yMode val="edge"/>
          <c:x val="0.34262178004186283"/>
          <c:y val="3.285033441631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842949996391147E-2"/>
          <c:y val="0.11687097893239864"/>
          <c:w val="0.96907738536170274"/>
          <c:h val="0.8523913009578088"/>
        </c:manualLayout>
      </c:layout>
      <c:pie3DChart>
        <c:varyColors val="1"/>
        <c:ser>
          <c:idx val="0"/>
          <c:order val="0"/>
          <c:tx>
            <c:strRef>
              <c:f>'ANALISIS POR PROG'!$G$5</c:f>
              <c:strCache>
                <c:ptCount val="1"/>
                <c:pt idx="0">
                  <c:v>Compromiso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PROG'!$I$6:$I$10</c:f>
              <c:numCache>
                <c:formatCode>0.0%</c:formatCode>
                <c:ptCount val="5"/>
                <c:pt idx="0">
                  <c:v>1.3899747006648097E-2</c:v>
                </c:pt>
                <c:pt idx="1">
                  <c:v>7.2032942185502385E-3</c:v>
                </c:pt>
                <c:pt idx="2">
                  <c:v>8.6044064239876455E-3</c:v>
                </c:pt>
                <c:pt idx="3">
                  <c:v>3.5622318878032293E-2</c:v>
                </c:pt>
                <c:pt idx="4">
                  <c:v>3.1229183969674186E-5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1">
            <a:lumMod val="5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DISPONIBLE</a:t>
            </a:r>
          </a:p>
        </c:rich>
      </c:tx>
      <c:layout>
        <c:manualLayout>
          <c:xMode val="edge"/>
          <c:yMode val="edge"/>
          <c:x val="0.39111169655218797"/>
          <c:y val="1.9978241594345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'ANALISIS POR PROG'!$N$5</c:f>
              <c:strCache>
                <c:ptCount val="1"/>
                <c:pt idx="0">
                  <c:v>Disponible Presupuestario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PROG'!$O$6:$O$10</c:f>
              <c:numCache>
                <c:formatCode>0%</c:formatCode>
                <c:ptCount val="5"/>
                <c:pt idx="0">
                  <c:v>9.1100629750872894E-2</c:v>
                </c:pt>
                <c:pt idx="1">
                  <c:v>8.6260721500550391E-2</c:v>
                </c:pt>
                <c:pt idx="2">
                  <c:v>7.4966723956197551E-2</c:v>
                </c:pt>
                <c:pt idx="3">
                  <c:v>4.6130534567929829E-2</c:v>
                </c:pt>
                <c:pt idx="4">
                  <c:v>3.5151189860744649E-2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EJECUCIÓN POR PROGRAMA</a:t>
            </a:r>
          </a:p>
        </c:rich>
      </c:tx>
      <c:layout>
        <c:manualLayout>
          <c:xMode val="edge"/>
          <c:yMode val="edge"/>
          <c:x val="0.21160709078031914"/>
          <c:y val="2.801120448179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'Ejecucion por Programa'!$AG$6</c:f>
              <c:strCache>
                <c:ptCount val="1"/>
                <c:pt idx="0">
                  <c:v>PROG 779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6.5816102067751871E-3"/>
                  <c:y val="7.76485692720655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Programa'!$AH$6:$AV$6</c:f>
              <c:numCache>
                <c:formatCode>0.0%</c:formatCode>
                <c:ptCount val="15"/>
                <c:pt idx="0">
                  <c:v>0</c:v>
                </c:pt>
                <c:pt idx="1">
                  <c:v>7.0419120509668698E-2</c:v>
                </c:pt>
                <c:pt idx="2">
                  <c:v>0.1051920636379533</c:v>
                </c:pt>
                <c:pt idx="3">
                  <c:v>0.16634194867651356</c:v>
                </c:pt>
                <c:pt idx="4">
                  <c:v>0.16634194867651356</c:v>
                </c:pt>
                <c:pt idx="5">
                  <c:v>0.21380633958732984</c:v>
                </c:pt>
                <c:pt idx="6">
                  <c:v>0.26041464032126493</c:v>
                </c:pt>
                <c:pt idx="7">
                  <c:v>0.30336542002214928</c:v>
                </c:pt>
                <c:pt idx="8">
                  <c:v>0.35385834581634595</c:v>
                </c:pt>
                <c:pt idx="9">
                  <c:v>0.52629880850785726</c:v>
                </c:pt>
                <c:pt idx="10">
                  <c:v>0.54138361692075698</c:v>
                </c:pt>
                <c:pt idx="11">
                  <c:v>0.59700785352283037</c:v>
                </c:pt>
                <c:pt idx="12">
                  <c:v>0.70674797079911356</c:v>
                </c:pt>
                <c:pt idx="13">
                  <c:v>0.76869545581451726</c:v>
                </c:pt>
                <c:pt idx="14">
                  <c:v>0.89499962324247895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'Ejecucion por Programa'!$AG$7</c:f>
              <c:strCache>
                <c:ptCount val="1"/>
                <c:pt idx="0">
                  <c:v>PROG 780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2.4539877300613498E-2"/>
                  <c:y val="8.528784648187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649122807017545E-2"/>
                  <c:y val="-1.8691584200067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175438596491229E-3"/>
                  <c:y val="-1.86915842000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480066996972884E-2"/>
                  <c:y val="-3.894080041680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939393939393943E-2"/>
                      <c:h val="7.7834994521305337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1.7014848506892912E-2"/>
                  <c:y val="7.165107276692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Programa'!$AH$7:$AV$7</c:f>
              <c:numCache>
                <c:formatCode>0.0%</c:formatCode>
                <c:ptCount val="15"/>
                <c:pt idx="0">
                  <c:v>0</c:v>
                </c:pt>
                <c:pt idx="1">
                  <c:v>9.847306681403302E-2</c:v>
                </c:pt>
                <c:pt idx="2">
                  <c:v>0.14412050791800232</c:v>
                </c:pt>
                <c:pt idx="3">
                  <c:v>0.22521648410063372</c:v>
                </c:pt>
                <c:pt idx="4">
                  <c:v>0.22521648410063372</c:v>
                </c:pt>
                <c:pt idx="5">
                  <c:v>0.28187128888614627</c:v>
                </c:pt>
                <c:pt idx="6">
                  <c:v>0.33919628395495699</c:v>
                </c:pt>
                <c:pt idx="7">
                  <c:v>0.39732708495640168</c:v>
                </c:pt>
                <c:pt idx="8">
                  <c:v>0.46004519725307963</c:v>
                </c:pt>
                <c:pt idx="9">
                  <c:v>0.5127507660757088</c:v>
                </c:pt>
                <c:pt idx="10">
                  <c:v>0.54261820773149716</c:v>
                </c:pt>
                <c:pt idx="11">
                  <c:v>0.60221737638396511</c:v>
                </c:pt>
                <c:pt idx="12">
                  <c:v>0.67315665049193119</c:v>
                </c:pt>
                <c:pt idx="13">
                  <c:v>0.74984207286196081</c:v>
                </c:pt>
                <c:pt idx="14">
                  <c:v>0.90653598428089932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'Ejecucion por Programa'!$AG$8</c:f>
              <c:strCache>
                <c:ptCount val="1"/>
                <c:pt idx="0">
                  <c:v>PROG 781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-3.552397868561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2280701754438E-2"/>
                  <c:y val="-1.74521015890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210526315789472E-3"/>
                  <c:y val="-9.3457921000338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489283759316181E-3"/>
                  <c:y val="-4.672896050016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492211226675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0562289480642899E-2"/>
                  <c:y val="-6.891773519814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Programa'!$AH$8:$AV$8</c:f>
              <c:numCache>
                <c:formatCode>0.0%</c:formatCode>
                <c:ptCount val="15"/>
                <c:pt idx="0">
                  <c:v>0</c:v>
                </c:pt>
                <c:pt idx="1">
                  <c:v>0.1034676705007908</c:v>
                </c:pt>
                <c:pt idx="2">
                  <c:v>0.14685775682797078</c:v>
                </c:pt>
                <c:pt idx="3">
                  <c:v>0.23832923646647955</c:v>
                </c:pt>
                <c:pt idx="4">
                  <c:v>0.23832923646647955</c:v>
                </c:pt>
                <c:pt idx="5">
                  <c:v>0.30143125937641302</c:v>
                </c:pt>
                <c:pt idx="6">
                  <c:v>0.35710474336060977</c:v>
                </c:pt>
                <c:pt idx="7">
                  <c:v>0.42067539423026834</c:v>
                </c:pt>
                <c:pt idx="8">
                  <c:v>0.48457547136075985</c:v>
                </c:pt>
                <c:pt idx="9">
                  <c:v>0.5420373509532308</c:v>
                </c:pt>
                <c:pt idx="10">
                  <c:v>0.57130568807912852</c:v>
                </c:pt>
                <c:pt idx="11">
                  <c:v>0.64107788372986207</c:v>
                </c:pt>
                <c:pt idx="12">
                  <c:v>0.71372859373685638</c:v>
                </c:pt>
                <c:pt idx="13">
                  <c:v>0.78155259840657876</c:v>
                </c:pt>
                <c:pt idx="14">
                  <c:v>0.91642886961981485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'Ejecucion por Programa'!$AG$9</c:f>
              <c:strCache>
                <c:ptCount val="1"/>
                <c:pt idx="0">
                  <c:v>PROG 783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-7.6257515764774891E-3"/>
                  <c:y val="-9.034265696699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Programa'!$AH$9:$AV$9</c:f>
              <c:numCache>
                <c:formatCode>0.0%</c:formatCode>
                <c:ptCount val="15"/>
                <c:pt idx="0">
                  <c:v>0</c:v>
                </c:pt>
                <c:pt idx="1">
                  <c:v>8.2754659490175769E-2</c:v>
                </c:pt>
                <c:pt idx="2">
                  <c:v>0.12395199074682743</c:v>
                </c:pt>
                <c:pt idx="3">
                  <c:v>0.2057917742419221</c:v>
                </c:pt>
                <c:pt idx="4">
                  <c:v>0.2057917742419221</c:v>
                </c:pt>
                <c:pt idx="5">
                  <c:v>0.26576438671716529</c:v>
                </c:pt>
                <c:pt idx="6">
                  <c:v>0.32424020876802151</c:v>
                </c:pt>
                <c:pt idx="7">
                  <c:v>0.38137051910877928</c:v>
                </c:pt>
                <c:pt idx="8">
                  <c:v>0.44617821619113329</c:v>
                </c:pt>
                <c:pt idx="9">
                  <c:v>0.48714224106997811</c:v>
                </c:pt>
                <c:pt idx="10">
                  <c:v>0.5099788499543082</c:v>
                </c:pt>
                <c:pt idx="11">
                  <c:v>0.57139356645109007</c:v>
                </c:pt>
                <c:pt idx="12">
                  <c:v>0.63477107375470487</c:v>
                </c:pt>
                <c:pt idx="13">
                  <c:v>0.70808288615654291</c:v>
                </c:pt>
                <c:pt idx="14">
                  <c:v>0.91824714655403794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'Ejecucion por Programa'!$AG$10</c:f>
              <c:strCache>
                <c:ptCount val="1"/>
                <c:pt idx="0">
                  <c:v>PROG 784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8.9279953072297982E-3"/>
                  <c:y val="-2.0225913060585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Programa'!$AH$10:$AV$10</c:f>
              <c:numCache>
                <c:formatCode>0.0%</c:formatCode>
                <c:ptCount val="15"/>
                <c:pt idx="0">
                  <c:v>0</c:v>
                </c:pt>
                <c:pt idx="1">
                  <c:v>0.11570925218181546</c:v>
                </c:pt>
                <c:pt idx="2">
                  <c:v>0.1626488165739505</c:v>
                </c:pt>
                <c:pt idx="3">
                  <c:v>0.25129019514931733</c:v>
                </c:pt>
                <c:pt idx="4">
                  <c:v>0.25129019514931733</c:v>
                </c:pt>
                <c:pt idx="5">
                  <c:v>0.31431923888391666</c:v>
                </c:pt>
                <c:pt idx="6">
                  <c:v>0.38348291768852633</c:v>
                </c:pt>
                <c:pt idx="7">
                  <c:v>0.44740282664124387</c:v>
                </c:pt>
                <c:pt idx="8">
                  <c:v>0.51275678897521071</c:v>
                </c:pt>
                <c:pt idx="9">
                  <c:v>0.5531082270342087</c:v>
                </c:pt>
                <c:pt idx="10">
                  <c:v>0.57968585922017446</c:v>
                </c:pt>
                <c:pt idx="11">
                  <c:v>0.64460673182559847</c:v>
                </c:pt>
                <c:pt idx="12">
                  <c:v>0.70797571855644348</c:v>
                </c:pt>
                <c:pt idx="13">
                  <c:v>0.77281210486863083</c:v>
                </c:pt>
                <c:pt idx="14">
                  <c:v>0.96481758095528558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809168"/>
        <c:axId val="273814208"/>
      </c:lineChart>
      <c:catAx>
        <c:axId val="27380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3814208"/>
        <c:crosses val="autoZero"/>
        <c:auto val="1"/>
        <c:lblAlgn val="ctr"/>
        <c:lblOffset val="100"/>
        <c:noMultiLvlLbl val="1"/>
      </c:catAx>
      <c:valAx>
        <c:axId val="2738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380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solidFill>
        <a:schemeClr val="accent1">
          <a:lumMod val="50000"/>
        </a:schemeClr>
      </a:solidFill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92149434928882E-2"/>
          <c:y val="2.5213770039469771E-2"/>
          <c:w val="0.89469834311948115"/>
          <c:h val="0.936092940526962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COMPARATIVO!$A$3</c:f>
              <c:strCache>
                <c:ptCount val="1"/>
                <c:pt idx="0">
                  <c:v>PROG 779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1718213058419244"/>
                  <c:y val="-2.06008565126012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494845360824742"/>
                  <c:y val="-2.06008565126012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(COMPARATIVO!$C$3,COMPARATIVO!$E$3)</c:f>
              <c:numCache>
                <c:formatCode>0%</c:formatCode>
                <c:ptCount val="2"/>
                <c:pt idx="0">
                  <c:v>1.9424944991640266E-2</c:v>
                </c:pt>
                <c:pt idx="1">
                  <c:v>2.1267084231978827E-2</c:v>
                </c:pt>
              </c:numCache>
            </c:numRef>
          </c:val>
        </c:ser>
        <c:ser>
          <c:idx val="1"/>
          <c:order val="1"/>
          <c:tx>
            <c:strRef>
              <c:f>COMPARATIVO!$A$4</c:f>
              <c:strCache>
                <c:ptCount val="1"/>
                <c:pt idx="0">
                  <c:v>PROG 780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17311001073319443"/>
                  <c:y val="-8.469241010736056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11120130602233"/>
                  <c:y val="-8.24034260504050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(COMPARATIVO!$C$4,COMPARATIVO!$E$4)</c:f>
              <c:numCache>
                <c:formatCode>0%</c:formatCode>
                <c:ptCount val="2"/>
                <c:pt idx="0">
                  <c:v>7.7036891782924508E-3</c:v>
                </c:pt>
                <c:pt idx="1">
                  <c:v>8.6913793349580413E-3</c:v>
                </c:pt>
              </c:numCache>
            </c:numRef>
          </c:val>
        </c:ser>
        <c:ser>
          <c:idx val="2"/>
          <c:order val="2"/>
          <c:tx>
            <c:strRef>
              <c:f>COMPARATIVO!$A$5</c:f>
              <c:strCache>
                <c:ptCount val="1"/>
                <c:pt idx="0">
                  <c:v>PROG 781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(COMPARATIVO!$C$5,COMPARATIVO!$E$5)</c:f>
              <c:numCache>
                <c:formatCode>0%</c:formatCode>
                <c:ptCount val="2"/>
                <c:pt idx="0">
                  <c:v>7.9976108610384122E-2</c:v>
                </c:pt>
                <c:pt idx="1">
                  <c:v>7.4254667540036137E-2</c:v>
                </c:pt>
              </c:numCache>
            </c:numRef>
          </c:val>
        </c:ser>
        <c:ser>
          <c:idx val="3"/>
          <c:order val="3"/>
          <c:tx>
            <c:strRef>
              <c:f>COMPARATIVO!$A$6</c:f>
              <c:strCache>
                <c:ptCount val="1"/>
                <c:pt idx="0">
                  <c:v>PROG 783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(COMPARATIVO!$C$6,COMPARATIVO!$E$6)</c:f>
              <c:numCache>
                <c:formatCode>0%</c:formatCode>
                <c:ptCount val="2"/>
                <c:pt idx="0">
                  <c:v>0.79501675339046551</c:v>
                </c:pt>
                <c:pt idx="1">
                  <c:v>0.79653150030228326</c:v>
                </c:pt>
              </c:numCache>
            </c:numRef>
          </c:val>
        </c:ser>
        <c:ser>
          <c:idx val="4"/>
          <c:order val="4"/>
          <c:tx>
            <c:strRef>
              <c:f>COMPARATIVO!$A$7</c:f>
              <c:strCache>
                <c:ptCount val="1"/>
                <c:pt idx="0">
                  <c:v>PROG 784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2018</c:v>
                </c:pt>
                <c:pt idx="1">
                  <c:v>2017</c:v>
                </c:pt>
              </c:numCache>
            </c:numRef>
          </c:cat>
          <c:val>
            <c:numRef>
              <c:f>(COMPARATIVO!$C$7,COMPARATIVO!$E$7)</c:f>
              <c:numCache>
                <c:formatCode>0%</c:formatCode>
                <c:ptCount val="2"/>
                <c:pt idx="0">
                  <c:v>9.78785038292177E-2</c:v>
                </c:pt>
                <c:pt idx="1">
                  <c:v>9.925536859074377E-2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819808"/>
        <c:axId val="273820928"/>
      </c:barChart>
      <c:catAx>
        <c:axId val="27381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3820928"/>
        <c:crosses val="autoZero"/>
        <c:auto val="1"/>
        <c:lblAlgn val="ctr"/>
        <c:lblOffset val="100"/>
        <c:noMultiLvlLbl val="0"/>
      </c:catAx>
      <c:valAx>
        <c:axId val="27382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7381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2170338</xdr:colOff>
      <xdr:row>27</xdr:row>
      <xdr:rowOff>40140</xdr:rowOff>
    </xdr:from>
    <xdr:to>
      <xdr:col>8</xdr:col>
      <xdr:colOff>56697</xdr:colOff>
      <xdr:row>44</xdr:row>
      <xdr:rowOff>90714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12</xdr:row>
      <xdr:rowOff>123825</xdr:rowOff>
    </xdr:from>
    <xdr:to>
      <xdr:col>14</xdr:col>
      <xdr:colOff>342900</xdr:colOff>
      <xdr:row>30</xdr:row>
      <xdr:rowOff>19050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128586</xdr:rowOff>
    </xdr:from>
    <xdr:to>
      <xdr:col>12</xdr:col>
      <xdr:colOff>476250</xdr:colOff>
      <xdr:row>28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68715</xdr:colOff>
      <xdr:row>12</xdr:row>
      <xdr:rowOff>49542</xdr:rowOff>
    </xdr:from>
    <xdr:to>
      <xdr:col>6</xdr:col>
      <xdr:colOff>1059656</xdr:colOff>
      <xdr:row>32</xdr:row>
      <xdr:rowOff>160812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94821</xdr:colOff>
      <xdr:row>12</xdr:row>
      <xdr:rowOff>83344</xdr:rowOff>
    </xdr:from>
    <xdr:to>
      <xdr:col>15</xdr:col>
      <xdr:colOff>142874</xdr:colOff>
      <xdr:row>32</xdr:row>
      <xdr:rowOff>183697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152523</xdr:colOff>
      <xdr:row>33</xdr:row>
      <xdr:rowOff>92007</xdr:rowOff>
    </xdr:from>
    <xdr:to>
      <xdr:col>6</xdr:col>
      <xdr:colOff>1083468</xdr:colOff>
      <xdr:row>54</xdr:row>
      <xdr:rowOff>3248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1184443</xdr:colOff>
      <xdr:row>33</xdr:row>
      <xdr:rowOff>71902</xdr:rowOff>
    </xdr:from>
    <xdr:to>
      <xdr:col>15</xdr:col>
      <xdr:colOff>250031</xdr:colOff>
      <xdr:row>54</xdr:row>
      <xdr:rowOff>16544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104774</xdr:rowOff>
    </xdr:from>
    <xdr:to>
      <xdr:col>29</xdr:col>
      <xdr:colOff>495300</xdr:colOff>
      <xdr:row>34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176211</xdr:rowOff>
    </xdr:from>
    <xdr:to>
      <xdr:col>7</xdr:col>
      <xdr:colOff>133350</xdr:colOff>
      <xdr:row>38</xdr:row>
      <xdr:rowOff>9524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50</xdr:row>
      <xdr:rowOff>114300</xdr:rowOff>
    </xdr:from>
    <xdr:to>
      <xdr:col>7</xdr:col>
      <xdr:colOff>104775</xdr:colOff>
      <xdr:row>79</xdr:row>
      <xdr:rowOff>138113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Users\karroyo\Documents\Ministerio%20de%20Justicia%20y%20Paz\Informes%20de%20Ejecucion%20Mensuales\Agosto-2015\INFORME%20DE%20EJECUCION%20%20AL%2031-AGOSTO-2015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3%20con%20B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8\12%20DICIEMBRE\Ejecuci&#243;n%20Presupuestaria%2031-Diciembre-18%20Prog%2077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8\12%20DICIEMBRE\Ejecuci&#243;n%20Presupuestaria%2031-Diciembre-18%20Prog%2078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8\12%20DICIEMBRE\Ejecuci&#243;n%20Presupuestaria%2031-Diciembre-18%20Prog%2078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8\12%20DICIEMBRE\Ejecuci&#243;n%20Presupuestaria%2031-Diciembre-18%20Prog%2078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8\12%20DICIEMBRE\Ejecuci&#243;n%20Presupuestaria%2031-Diciembre-18%20Prog%2078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\Comportamiento%2023-oct-15\Informe%20ejecucion%2023-10-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7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sigaf"/>
      <sheetName val="RESUMEN"/>
      <sheetName val="GRAF. MENSUALES EJEC. Y DISP."/>
    </sheetNames>
    <sheetDataSet>
      <sheetData sheetId="0">
        <row r="5">
          <cell r="A5" t="str">
            <v>214  - Ministerio de Justicia y Gracia</v>
          </cell>
        </row>
      </sheetData>
      <sheetData sheetId="1"/>
      <sheetData sheetId="2"/>
      <sheetData sheetId="3">
        <row r="2">
          <cell r="B2" t="str">
            <v>Presupuesto Ejecutado (solicitado + comprometido + rec.mercancía + devengado)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9259897000</v>
          </cell>
          <cell r="C10">
            <v>2809082347.3700004</v>
          </cell>
          <cell r="D10">
            <v>2552094589.6900001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152948794714.44</v>
          </cell>
          <cell r="C10">
            <v>69213232409.300003</v>
          </cell>
          <cell r="D10">
            <v>29520016193.59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13799039000</v>
          </cell>
          <cell r="C10">
            <v>4783423549.5699997</v>
          </cell>
          <cell r="D10">
            <v>3910561059.5099998</v>
          </cell>
          <cell r="E10">
            <v>872862490.06000042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SIGAF"/>
      <sheetName val="ejecución"/>
      <sheetName val="Resumen partida"/>
      <sheetName val="Hoja4"/>
      <sheetName val="proyeccion"/>
      <sheetName val="Resumen por Partida"/>
      <sheetName val="comport. resumen"/>
      <sheetName val="mensual"/>
    </sheetNames>
    <sheetDataSet>
      <sheetData sheetId="0">
        <row r="10">
          <cell r="C10">
            <v>2608813216</v>
          </cell>
          <cell r="E10">
            <v>0</v>
          </cell>
          <cell r="G10">
            <v>36261843.689999998</v>
          </cell>
          <cell r="I10">
            <v>0</v>
          </cell>
          <cell r="K10">
            <v>2334886845.4299998</v>
          </cell>
          <cell r="O10">
            <v>237664526.88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1034622551</v>
          </cell>
          <cell r="E10">
            <v>0</v>
          </cell>
          <cell r="G10">
            <v>7452690.6399999997</v>
          </cell>
          <cell r="I10">
            <v>0</v>
          </cell>
          <cell r="K10">
            <v>937922572.63</v>
          </cell>
          <cell r="O10">
            <v>89247287.729999989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ion"/>
      <sheetName val="comport.resumen"/>
      <sheetName val="mensual"/>
    </sheetNames>
    <sheetDataSet>
      <sheetData sheetId="0">
        <row r="10">
          <cell r="C10">
            <v>10740968852</v>
          </cell>
          <cell r="E10">
            <v>0</v>
          </cell>
          <cell r="G10">
            <v>92419661.390000001</v>
          </cell>
          <cell r="I10">
            <v>0</v>
          </cell>
          <cell r="K10">
            <v>9843333943.6599998</v>
          </cell>
          <cell r="O10">
            <v>805215246.95000005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Presupues Ley vrs Actual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106772514109</v>
          </cell>
          <cell r="E10">
            <v>0</v>
          </cell>
          <cell r="G10">
            <v>3803484545</v>
          </cell>
          <cell r="I10">
            <v>0</v>
          </cell>
          <cell r="K10">
            <v>98043556410.990005</v>
          </cell>
          <cell r="O10">
            <v>4925473153.0100002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13145300255</v>
          </cell>
          <cell r="E10">
            <v>0</v>
          </cell>
          <cell r="G10">
            <v>410517</v>
          </cell>
          <cell r="J10">
            <v>0</v>
          </cell>
          <cell r="K10">
            <v>12682816792.959999</v>
          </cell>
          <cell r="O10">
            <v>462072945.04000002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779"/>
      <sheetName val="Resumen 779"/>
      <sheetName val="Prog.780"/>
      <sheetName val="Resumen 780"/>
      <sheetName val="Prog.781"/>
      <sheetName val="Resumen 781"/>
      <sheetName val="Prog.783"/>
      <sheetName val="Resumen 783"/>
      <sheetName val="Prog.784"/>
      <sheetName val="Resumen 784"/>
      <sheetName val="Consolidado"/>
      <sheetName val="Resumen Consolidado"/>
      <sheetName val="Analisis Programas"/>
    </sheetNames>
    <sheetDataSet>
      <sheetData sheetId="0" refreshError="1"/>
      <sheetData sheetId="1">
        <row r="37">
          <cell r="B37" t="str">
            <v>1  SERVICIOS</v>
          </cell>
        </row>
      </sheetData>
      <sheetData sheetId="2" refreshError="1"/>
      <sheetData sheetId="3">
        <row r="36">
          <cell r="E36" t="str">
            <v>Compromiso</v>
          </cell>
        </row>
      </sheetData>
      <sheetData sheetId="4" refreshError="1"/>
      <sheetData sheetId="5">
        <row r="42">
          <cell r="C42">
            <v>1365352000</v>
          </cell>
        </row>
      </sheetData>
      <sheetData sheetId="6" refreshError="1"/>
      <sheetData sheetId="7">
        <row r="37">
          <cell r="B37" t="str">
            <v>1  SERVICIOS</v>
          </cell>
        </row>
      </sheetData>
      <sheetData sheetId="8" refreshError="1"/>
      <sheetData sheetId="9">
        <row r="42">
          <cell r="C42">
            <v>1007732000</v>
          </cell>
        </row>
      </sheetData>
      <sheetData sheetId="10" refreshError="1"/>
      <sheetData sheetId="11">
        <row r="36">
          <cell r="E36" t="str">
            <v>Compromiso</v>
          </cell>
        </row>
      </sheetData>
      <sheetData sheetId="12">
        <row r="5">
          <cell r="C5" t="str">
            <v xml:space="preserve">Apropiación Actual </v>
          </cell>
        </row>
        <row r="6">
          <cell r="B6" t="str">
            <v>PROG 779</v>
          </cell>
        </row>
        <row r="7">
          <cell r="B7" t="str">
            <v>PROG 780</v>
          </cell>
        </row>
        <row r="8">
          <cell r="B8" t="str">
            <v>PROG 781</v>
          </cell>
        </row>
        <row r="9">
          <cell r="B9" t="str">
            <v>PROG 783</v>
          </cell>
        </row>
        <row r="10">
          <cell r="B10" t="str">
            <v>PROG 784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3104857000</v>
          </cell>
          <cell r="C10">
            <v>1064850521.0999999</v>
          </cell>
          <cell r="D10">
            <v>817913281.75999999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886495000</v>
          </cell>
          <cell r="C10">
            <v>344496181.24000001</v>
          </cell>
          <cell r="D10">
            <v>196164904.31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14"/>
  <sheetViews>
    <sheetView workbookViewId="0">
      <selection activeCell="A5" sqref="A5:R5"/>
    </sheetView>
  </sheetViews>
  <sheetFormatPr baseColWidth="10" defaultRowHeight="15" x14ac:dyDescent="0.25"/>
  <cols>
    <col min="1" max="1" width="16.85546875" customWidth="1"/>
    <col min="2" max="2" width="25.42578125" customWidth="1"/>
    <col min="3" max="3" width="19.5703125" customWidth="1"/>
    <col min="4" max="4" width="18.5703125" customWidth="1"/>
    <col min="5" max="5" width="17.5703125" customWidth="1"/>
    <col min="6" max="6" width="6.85546875" style="14" customWidth="1"/>
    <col min="7" max="7" width="18.5703125" customWidth="1"/>
    <col min="8" max="8" width="7.42578125" customWidth="1"/>
    <col min="9" max="9" width="16.85546875" bestFit="1" customWidth="1"/>
    <col min="10" max="10" width="10.7109375" customWidth="1"/>
    <col min="11" max="11" width="16.85546875" customWidth="1"/>
    <col min="12" max="12" width="8.85546875" customWidth="1"/>
    <col min="13" max="13" width="18.140625" customWidth="1"/>
    <col min="14" max="14" width="8.28515625" customWidth="1"/>
    <col min="15" max="15" width="17" style="87" customWidth="1"/>
    <col min="16" max="16" width="7.7109375" bestFit="1" customWidth="1"/>
    <col min="17" max="17" width="16.5703125" customWidth="1"/>
    <col min="18" max="18" width="7.7109375" bestFit="1" customWidth="1"/>
    <col min="19" max="19" width="15.28515625" bestFit="1" customWidth="1"/>
  </cols>
  <sheetData>
    <row r="1" spans="1:18" ht="15.75" x14ac:dyDescent="0.25">
      <c r="A1" s="167" t="s">
        <v>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/>
    </row>
    <row r="2" spans="1:18" ht="15.75" x14ac:dyDescent="0.25">
      <c r="A2" s="170" t="s">
        <v>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2"/>
    </row>
    <row r="3" spans="1:18" ht="15.75" x14ac:dyDescent="0.25">
      <c r="A3" s="170" t="s">
        <v>69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18" ht="15.75" x14ac:dyDescent="0.25">
      <c r="A4" s="176" t="s">
        <v>612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ht="15.75" x14ac:dyDescent="0.25">
      <c r="A5" s="173" t="s">
        <v>55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</row>
    <row r="6" spans="1:18" ht="15.75" x14ac:dyDescent="0.25">
      <c r="A6" s="170" t="s">
        <v>598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2"/>
    </row>
    <row r="7" spans="1:18" ht="15.75" thickBot="1" x14ac:dyDescent="0.3">
      <c r="A7" s="1"/>
      <c r="B7" s="2"/>
      <c r="C7" s="2"/>
      <c r="D7" s="2"/>
      <c r="E7" s="2"/>
      <c r="F7" s="10"/>
      <c r="G7" s="2"/>
      <c r="H7" s="2"/>
      <c r="I7" s="2"/>
      <c r="J7" s="2"/>
      <c r="K7" s="2"/>
      <c r="L7" s="2"/>
      <c r="M7" s="2"/>
      <c r="N7" s="2"/>
      <c r="O7" s="84"/>
      <c r="P7" s="2"/>
      <c r="Q7" s="2"/>
      <c r="R7" s="3"/>
    </row>
    <row r="8" spans="1:18" ht="24" x14ac:dyDescent="0.25">
      <c r="A8" s="52" t="s">
        <v>24</v>
      </c>
      <c r="B8" s="52" t="s">
        <v>548</v>
      </c>
      <c r="C8" s="52" t="s">
        <v>25</v>
      </c>
      <c r="D8" s="52" t="s">
        <v>551</v>
      </c>
      <c r="E8" s="52" t="s">
        <v>27</v>
      </c>
      <c r="F8" s="52" t="s">
        <v>28</v>
      </c>
      <c r="G8" s="52" t="s">
        <v>29</v>
      </c>
      <c r="H8" s="52" t="s">
        <v>30</v>
      </c>
      <c r="I8" s="52" t="s">
        <v>31</v>
      </c>
      <c r="J8" s="52" t="s">
        <v>32</v>
      </c>
      <c r="K8" s="52" t="s">
        <v>33</v>
      </c>
      <c r="L8" s="52" t="s">
        <v>34</v>
      </c>
      <c r="M8" s="52" t="s">
        <v>35</v>
      </c>
      <c r="N8" s="52" t="s">
        <v>36</v>
      </c>
      <c r="O8" s="52" t="s">
        <v>550</v>
      </c>
      <c r="P8" s="52" t="s">
        <v>38</v>
      </c>
      <c r="Q8" s="52" t="s">
        <v>564</v>
      </c>
      <c r="R8" s="53" t="s">
        <v>40</v>
      </c>
    </row>
    <row r="9" spans="1:18" x14ac:dyDescent="0.25">
      <c r="A9" s="11" t="s">
        <v>41</v>
      </c>
      <c r="B9" s="11"/>
      <c r="C9" s="11" t="s">
        <v>42</v>
      </c>
      <c r="D9" s="11" t="s">
        <v>42</v>
      </c>
      <c r="E9" s="11" t="s">
        <v>42</v>
      </c>
      <c r="F9" s="12"/>
      <c r="G9" s="11" t="s">
        <v>42</v>
      </c>
      <c r="H9" s="11"/>
      <c r="I9" s="11" t="s">
        <v>42</v>
      </c>
      <c r="J9" s="11"/>
      <c r="K9" s="11" t="s">
        <v>42</v>
      </c>
      <c r="L9" s="11"/>
      <c r="M9" s="11" t="s">
        <v>42</v>
      </c>
      <c r="N9" s="11"/>
      <c r="O9" s="85" t="s">
        <v>42</v>
      </c>
      <c r="P9" s="11"/>
      <c r="Q9" s="11" t="s">
        <v>42</v>
      </c>
      <c r="R9" s="13"/>
    </row>
    <row r="10" spans="1:18" s="23" customFormat="1" x14ac:dyDescent="0.25">
      <c r="A10">
        <v>214</v>
      </c>
      <c r="B10" s="21"/>
      <c r="C10" s="35">
        <f>SUMIF(SIGAF!$A$2:$A$491,$A10,SIGAF!$F$2:$F$491)</f>
        <v>134302218983</v>
      </c>
      <c r="D10" s="35">
        <f>SUMIF(SIGAF!$A$2:$A$491,$A10,SIGAF!$G$2:$G$491)</f>
        <v>134296244482</v>
      </c>
      <c r="E10" s="35">
        <f>SUMIF(SIGAF!$A$2:$A$491,$A10,SIGAF!$H$2:$H$491)</f>
        <v>0</v>
      </c>
      <c r="F10" s="65">
        <f>+IFERROR(+E10/$C10,0)</f>
        <v>0</v>
      </c>
      <c r="G10" s="35">
        <f>SUMIF(SIGAF!$A$2:$A$491,$A10,SIGAF!$I$2:$I$491)</f>
        <v>3940029257.7199998</v>
      </c>
      <c r="H10" s="65">
        <f>+IFERROR(+G10/$C10,0)</f>
        <v>2.9337037671869959E-2</v>
      </c>
      <c r="I10" s="35">
        <f>SUMIF(SIGAF!$A$2:$A$491,$A10,SIGAF!$J$2:$J$491)</f>
        <v>0</v>
      </c>
      <c r="J10" s="65">
        <f>+IFERROR(+I10/$C10,0)</f>
        <v>0</v>
      </c>
      <c r="K10" s="35">
        <f>SUMIF(SIGAF!$A$2:$A$491,$A10,SIGAF!$K$2:$K$491)</f>
        <v>123842516565.67</v>
      </c>
      <c r="L10" s="141">
        <f t="shared" ref="L10:L11" si="0">+IFERROR(+K10/$C10,0)</f>
        <v>0.92211817126674589</v>
      </c>
      <c r="M10" s="35">
        <f>SUMIF(SIGAF!$A$2:$A$491,$A10,SIGAF!$L$2:$L$491)</f>
        <v>118856946867.02</v>
      </c>
      <c r="N10" s="65">
        <f>+IFERROR(+M10/$C10,0)</f>
        <v>0.88499615097249396</v>
      </c>
      <c r="O10" s="35">
        <f>SUMIF(SIGAF!$A$2:$A$491,$A10,SIGAF!$M$2:$M$491)</f>
        <v>6519673159.6099997</v>
      </c>
      <c r="P10" s="65">
        <f>+IFERROR(+O10/$C10,0)</f>
        <v>4.8544791061384186E-2</v>
      </c>
      <c r="Q10" s="35">
        <f>SUMIF(SIGAF!$A$2:$A$491,$A10,SIGAF!$N$2:$N$491)</f>
        <v>6513698658.6099997</v>
      </c>
      <c r="R10" s="65">
        <f>+IFERROR(+Q10/$C10,0)</f>
        <v>4.8500305564083829E-2</v>
      </c>
    </row>
    <row r="11" spans="1:18" s="23" customFormat="1" x14ac:dyDescent="0.25">
      <c r="A11" s="21" t="s">
        <v>92</v>
      </c>
      <c r="B11" s="21" t="s">
        <v>93</v>
      </c>
      <c r="C11" s="35">
        <f>SUMIF(SIGAF!$B$2:$B$491,$A11,SIGAF!$F$2:$F$491)</f>
        <v>89646093488</v>
      </c>
      <c r="D11" s="35">
        <f>SUMIF(SIGAF!$B$2:$B$491,$A11,SIGAF!$G$2:$G$491)</f>
        <v>89640118987</v>
      </c>
      <c r="E11" s="35">
        <f>SUMIF(SIGAF!$B$2:$B$491,$A11,SIGAF!$H$2:$H$491)</f>
        <v>0</v>
      </c>
      <c r="F11" s="65">
        <f t="shared" ref="F11:F74" si="1">+IFERROR(+E11/$C11,0)</f>
        <v>0</v>
      </c>
      <c r="G11" s="35">
        <f>SUMIF(SIGAF!$B$2:$B$491,$A11,SIGAF!$I$2:$I$491)</f>
        <v>0</v>
      </c>
      <c r="H11" s="65">
        <f t="shared" ref="H11:J74" si="2">+IFERROR(+G11/$C11,0)</f>
        <v>0</v>
      </c>
      <c r="I11" s="35">
        <f>SUMIF(SIGAF!$B$2:$B$491,$A11,SIGAF!$J$2:$J$491)</f>
        <v>0</v>
      </c>
      <c r="J11" s="65">
        <f t="shared" si="2"/>
        <v>0</v>
      </c>
      <c r="K11" s="35">
        <f>SUMIF(SIGAF!$B$2:$B$491,$A11,SIGAF!$K$2:$K$491)</f>
        <v>85726976935.610001</v>
      </c>
      <c r="L11" s="141">
        <f t="shared" si="0"/>
        <v>0.95628234985036342</v>
      </c>
      <c r="M11" s="35">
        <f>SUMIF(SIGAF!$B$2:$B$491,$A11,SIGAF!$L$2:$L$491)</f>
        <v>85726976935.610001</v>
      </c>
      <c r="N11" s="65">
        <f t="shared" ref="N11:N74" si="3">+IFERROR(+M11/$C11,0)</f>
        <v>0.95628234985036342</v>
      </c>
      <c r="O11" s="86">
        <f>SUMIF(SIGAF!$B$2:$B$491,$A11,SIGAF!$M$2:$M$491)</f>
        <v>3919116552.3899999</v>
      </c>
      <c r="P11" s="65">
        <f t="shared" ref="P11:P74" si="4">+IFERROR(+O11/$C11,0)</f>
        <v>4.3717650149636599E-2</v>
      </c>
      <c r="Q11" s="35">
        <f>SUMIF(SIGAF!$B$2:$B$491,$A11,SIGAF!$N$2:$N$491)</f>
        <v>3913142051.3899999</v>
      </c>
      <c r="R11" s="65">
        <f t="shared" ref="R11:R74" si="5">+IFERROR(+Q11/$C11,0)</f>
        <v>4.3651004735792663E-2</v>
      </c>
    </row>
    <row r="12" spans="1:18" x14ac:dyDescent="0.25">
      <c r="A12" s="11" t="s">
        <v>94</v>
      </c>
      <c r="B12" s="11" t="s">
        <v>417</v>
      </c>
      <c r="C12" s="13">
        <f>SUMIF(SIGAF!$B$2:$B$491,$A12,SIGAF!$F$2:$F$491)</f>
        <v>32281521474</v>
      </c>
      <c r="D12" s="13">
        <f>SUMIF(SIGAF!$B$2:$B$491,$A12,SIGAF!$G$2:$G$491)</f>
        <v>32275546973</v>
      </c>
      <c r="E12" s="13">
        <f>SUMIF(SIGAF!$B$2:$B$491,$A12,SIGAF!$H$2:$H$491)</f>
        <v>0</v>
      </c>
      <c r="F12" s="66">
        <f t="shared" si="1"/>
        <v>0</v>
      </c>
      <c r="G12" s="132">
        <f>SUMIF(SIGAF!$B$2:$B$491,$A12,SIGAF!$I$2:$I$491)</f>
        <v>0</v>
      </c>
      <c r="H12" s="66">
        <f t="shared" si="2"/>
        <v>0</v>
      </c>
      <c r="I12" s="13">
        <f>SUMIF(SIGAF!$B$2:$B$491,$A12,SIGAF!$J$2:$J$491)</f>
        <v>0</v>
      </c>
      <c r="J12" s="66">
        <f t="shared" si="2"/>
        <v>0</v>
      </c>
      <c r="K12" s="13">
        <f>SUMIF(SIGAF!$B$2:$B$491,$A12,SIGAF!$K$2:$K$491)</f>
        <v>30423507179.060001</v>
      </c>
      <c r="L12" s="142">
        <f>+IFERROR(+K12/$C12,0)</f>
        <v>0.94244341003454657</v>
      </c>
      <c r="M12" s="13">
        <f>SUMIF(SIGAF!$B$2:$B$491,$A12,SIGAF!$L$2:$L$491)</f>
        <v>30423507179.060001</v>
      </c>
      <c r="N12" s="66">
        <f t="shared" si="3"/>
        <v>0.94244341003454657</v>
      </c>
      <c r="O12" s="85">
        <f>SUMIF(SIGAF!$B$2:$B$491,$A12,SIGAF!$M$2:$M$491)</f>
        <v>1858014294.9400001</v>
      </c>
      <c r="P12" s="66">
        <f t="shared" si="4"/>
        <v>5.75565899654535E-2</v>
      </c>
      <c r="Q12" s="13">
        <f>SUMIF(SIGAF!$B$2:$B$491,$A12,SIGAF!$N$2:$N$491)</f>
        <v>1852039793.9400001</v>
      </c>
      <c r="R12" s="66">
        <f t="shared" si="5"/>
        <v>5.7371515014608569E-2</v>
      </c>
    </row>
    <row r="13" spans="1:18" x14ac:dyDescent="0.25">
      <c r="A13" s="11" t="s">
        <v>96</v>
      </c>
      <c r="B13" s="11" t="s">
        <v>418</v>
      </c>
      <c r="C13" s="13">
        <f>SUMIF(SIGAF!$B$2:$B$491,$A13,SIGAF!$F$2:$F$491)</f>
        <v>32065860264</v>
      </c>
      <c r="D13" s="13">
        <f>SUMIF(SIGAF!$B$2:$B$491,$A13,SIGAF!$G$2:$G$491)</f>
        <v>32059885763</v>
      </c>
      <c r="E13" s="13">
        <f>SUMIF(SIGAF!$B$2:$B$491,$A13,SIGAF!$H$2:$H$491)</f>
        <v>0</v>
      </c>
      <c r="F13" s="66">
        <f t="shared" si="1"/>
        <v>0</v>
      </c>
      <c r="G13" s="132">
        <f>SUMIF(SIGAF!$B$2:$B$491,$A13,SIGAF!$I$2:$I$491)</f>
        <v>0</v>
      </c>
      <c r="H13" s="66">
        <f t="shared" si="2"/>
        <v>0</v>
      </c>
      <c r="I13" s="13">
        <f>SUMIF(SIGAF!$B$2:$B$491,$A13,SIGAF!$J$2:$J$491)</f>
        <v>0</v>
      </c>
      <c r="J13" s="66">
        <f t="shared" si="2"/>
        <v>0</v>
      </c>
      <c r="K13" s="13">
        <f>SUMIF(SIGAF!$B$2:$B$491,$A13,SIGAF!$K$2:$K$491)</f>
        <v>30256945184.060001</v>
      </c>
      <c r="L13" s="142">
        <f t="shared" ref="L13:L76" si="6">+IFERROR(+K13/$C13,0)</f>
        <v>0.94358750817701131</v>
      </c>
      <c r="M13" s="13">
        <f>SUMIF(SIGAF!$B$2:$B$491,$A13,SIGAF!$L$2:$L$491)</f>
        <v>30256945184.060001</v>
      </c>
      <c r="N13" s="66">
        <f t="shared" si="3"/>
        <v>0.94358750817701131</v>
      </c>
      <c r="O13" s="85">
        <f>SUMIF(SIGAF!$B$2:$B$491,$A13,SIGAF!$M$2:$M$491)</f>
        <v>1808915079.9400001</v>
      </c>
      <c r="P13" s="66">
        <f t="shared" si="4"/>
        <v>5.6412491822988756E-2</v>
      </c>
      <c r="Q13" s="13">
        <f>SUMIF(SIGAF!$B$2:$B$491,$A13,SIGAF!$N$2:$N$491)</f>
        <v>1802940578.9400001</v>
      </c>
      <c r="R13" s="66">
        <f t="shared" si="5"/>
        <v>5.6226172137478631E-2</v>
      </c>
    </row>
    <row r="14" spans="1:18" x14ac:dyDescent="0.25">
      <c r="A14" s="11" t="s">
        <v>355</v>
      </c>
      <c r="B14" s="11" t="s">
        <v>356</v>
      </c>
      <c r="C14" s="13">
        <f>SUMIF(SIGAF!$B$2:$B$491,$A14,SIGAF!$F$2:$F$491)</f>
        <v>213161210</v>
      </c>
      <c r="D14" s="13">
        <f>SUMIF(SIGAF!$B$2:$B$491,$A14,SIGAF!$G$2:$G$491)</f>
        <v>213161210</v>
      </c>
      <c r="E14" s="13">
        <f>SUMIF(SIGAF!$B$2:$B$491,$A14,SIGAF!$H$2:$H$491)</f>
        <v>0</v>
      </c>
      <c r="F14" s="66">
        <f t="shared" si="1"/>
        <v>0</v>
      </c>
      <c r="G14" s="132">
        <f>SUMIF(SIGAF!$B$2:$B$491,$A14,SIGAF!$I$2:$I$491)</f>
        <v>0</v>
      </c>
      <c r="H14" s="66">
        <f t="shared" si="2"/>
        <v>0</v>
      </c>
      <c r="I14" s="13">
        <f>SUMIF(SIGAF!$B$2:$B$491,$A14,SIGAF!$J$2:$J$491)</f>
        <v>0</v>
      </c>
      <c r="J14" s="66">
        <f t="shared" si="2"/>
        <v>0</v>
      </c>
      <c r="K14" s="13">
        <f>SUMIF(SIGAF!$B$2:$B$491,$A14,SIGAF!$K$2:$K$491)</f>
        <v>166561995</v>
      </c>
      <c r="L14" s="142">
        <f t="shared" si="6"/>
        <v>0.78138979882878312</v>
      </c>
      <c r="M14" s="13">
        <f>SUMIF(SIGAF!$B$2:$B$491,$A14,SIGAF!$L$2:$L$491)</f>
        <v>166561995</v>
      </c>
      <c r="N14" s="66">
        <f t="shared" si="3"/>
        <v>0.78138979882878312</v>
      </c>
      <c r="O14" s="85">
        <f>SUMIF(SIGAF!$B$2:$B$491,$A14,SIGAF!$M$2:$M$491)</f>
        <v>46599215</v>
      </c>
      <c r="P14" s="66">
        <f t="shared" si="4"/>
        <v>0.21861020117121685</v>
      </c>
      <c r="Q14" s="13">
        <f>SUMIF(SIGAF!$B$2:$B$491,$A14,SIGAF!$N$2:$N$491)</f>
        <v>46599215</v>
      </c>
      <c r="R14" s="66">
        <f t="shared" si="5"/>
        <v>0.21861020117121685</v>
      </c>
    </row>
    <row r="15" spans="1:18" x14ac:dyDescent="0.25">
      <c r="A15" s="11" t="s">
        <v>320</v>
      </c>
      <c r="B15" s="11" t="s">
        <v>321</v>
      </c>
      <c r="C15" s="13">
        <f>SUMIF(SIGAF!$B$2:$B$491,$A15,SIGAF!$F$2:$F$491)</f>
        <v>2500000</v>
      </c>
      <c r="D15" s="13">
        <f>SUMIF(SIGAF!$B$2:$B$491,$A15,SIGAF!$G$2:$G$491)</f>
        <v>2500000</v>
      </c>
      <c r="E15" s="13">
        <f>SUMIF(SIGAF!$B$2:$B$491,$A15,SIGAF!$H$2:$H$491)</f>
        <v>0</v>
      </c>
      <c r="F15" s="66">
        <f t="shared" si="1"/>
        <v>0</v>
      </c>
      <c r="G15" s="132">
        <f>SUMIF(SIGAF!$B$2:$B$491,$A15,SIGAF!$I$2:$I$491)</f>
        <v>0</v>
      </c>
      <c r="H15" s="66">
        <f t="shared" si="2"/>
        <v>0</v>
      </c>
      <c r="I15" s="13">
        <f>SUMIF(SIGAF!$B$2:$B$491,$A15,SIGAF!$J$2:$J$491)</f>
        <v>0</v>
      </c>
      <c r="J15" s="66">
        <f t="shared" si="2"/>
        <v>0</v>
      </c>
      <c r="K15" s="13">
        <f>SUMIF(SIGAF!$B$2:$B$491,$A15,SIGAF!$K$2:$K$491)</f>
        <v>0</v>
      </c>
      <c r="L15" s="142">
        <f t="shared" si="6"/>
        <v>0</v>
      </c>
      <c r="M15" s="13">
        <f>SUMIF(SIGAF!$B$2:$B$491,$A15,SIGAF!$L$2:$L$491)</f>
        <v>0</v>
      </c>
      <c r="N15" s="66">
        <f t="shared" si="3"/>
        <v>0</v>
      </c>
      <c r="O15" s="85">
        <f>SUMIF(SIGAF!$B$2:$B$491,$A15,SIGAF!$M$2:$M$491)</f>
        <v>2500000</v>
      </c>
      <c r="P15" s="66">
        <f t="shared" si="4"/>
        <v>1</v>
      </c>
      <c r="Q15" s="13">
        <f>SUMIF(SIGAF!$B$2:$B$491,$A15,SIGAF!$N$2:$N$491)</f>
        <v>2500000</v>
      </c>
      <c r="R15" s="66">
        <f t="shared" si="5"/>
        <v>1</v>
      </c>
    </row>
    <row r="16" spans="1:18" x14ac:dyDescent="0.25">
      <c r="A16" s="11" t="s">
        <v>98</v>
      </c>
      <c r="B16" s="11" t="s">
        <v>419</v>
      </c>
      <c r="C16" s="13">
        <f>SUMIF(SIGAF!$B$2:$B$491,$A16,SIGAF!$F$2:$F$491)</f>
        <v>3645387667</v>
      </c>
      <c r="D16" s="13">
        <f>SUMIF(SIGAF!$B$2:$B$491,$A16,SIGAF!$G$2:$G$491)</f>
        <v>3645387667</v>
      </c>
      <c r="E16" s="13">
        <f>SUMIF(SIGAF!$B$2:$B$491,$A16,SIGAF!$H$2:$H$491)</f>
        <v>0</v>
      </c>
      <c r="F16" s="66">
        <f t="shared" si="1"/>
        <v>0</v>
      </c>
      <c r="G16" s="132">
        <f>SUMIF(SIGAF!$B$2:$B$491,$A16,SIGAF!$I$2:$I$491)</f>
        <v>0</v>
      </c>
      <c r="H16" s="66">
        <f t="shared" si="2"/>
        <v>0</v>
      </c>
      <c r="I16" s="13">
        <f>SUMIF(SIGAF!$B$2:$B$491,$A16,SIGAF!$J$2:$J$491)</f>
        <v>0</v>
      </c>
      <c r="J16" s="66">
        <f t="shared" si="2"/>
        <v>0</v>
      </c>
      <c r="K16" s="13">
        <f>SUMIF(SIGAF!$B$2:$B$491,$A16,SIGAF!$K$2:$K$491)</f>
        <v>3566698072.5300002</v>
      </c>
      <c r="L16" s="142">
        <f t="shared" si="6"/>
        <v>0.97841392969468233</v>
      </c>
      <c r="M16" s="13">
        <f>SUMIF(SIGAF!$B$2:$B$491,$A16,SIGAF!$L$2:$L$491)</f>
        <v>3566698072.5300002</v>
      </c>
      <c r="N16" s="66">
        <f t="shared" si="3"/>
        <v>0.97841392969468233</v>
      </c>
      <c r="O16" s="85">
        <f>SUMIF(SIGAF!$B$2:$B$491,$A16,SIGAF!$M$2:$M$491)</f>
        <v>78689594.469999999</v>
      </c>
      <c r="P16" s="66">
        <f t="shared" si="4"/>
        <v>2.158607030531768E-2</v>
      </c>
      <c r="Q16" s="13">
        <f>SUMIF(SIGAF!$B$2:$B$491,$A16,SIGAF!$N$2:$N$491)</f>
        <v>78689594.469999999</v>
      </c>
      <c r="R16" s="66">
        <f t="shared" si="5"/>
        <v>2.158607030531768E-2</v>
      </c>
    </row>
    <row r="17" spans="1:18" x14ac:dyDescent="0.25">
      <c r="A17" s="11" t="s">
        <v>100</v>
      </c>
      <c r="B17" s="11" t="s">
        <v>420</v>
      </c>
      <c r="C17" s="13">
        <f>SUMIF(SIGAF!$B$2:$B$491,$A17,SIGAF!$F$2:$F$491)</f>
        <v>18953667</v>
      </c>
      <c r="D17" s="13">
        <f>SUMIF(SIGAF!$B$2:$B$491,$A17,SIGAF!$G$2:$G$491)</f>
        <v>18953667</v>
      </c>
      <c r="E17" s="13">
        <f>SUMIF(SIGAF!$B$2:$B$491,$A17,SIGAF!$H$2:$H$491)</f>
        <v>0</v>
      </c>
      <c r="F17" s="66">
        <f t="shared" si="1"/>
        <v>0</v>
      </c>
      <c r="G17" s="132">
        <f>SUMIF(SIGAF!$B$2:$B$491,$A17,SIGAF!$I$2:$I$491)</f>
        <v>0</v>
      </c>
      <c r="H17" s="66">
        <f t="shared" si="2"/>
        <v>0</v>
      </c>
      <c r="I17" s="13">
        <f>SUMIF(SIGAF!$B$2:$B$491,$A17,SIGAF!$J$2:$J$491)</f>
        <v>0</v>
      </c>
      <c r="J17" s="66">
        <f t="shared" si="2"/>
        <v>0</v>
      </c>
      <c r="K17" s="13">
        <f>SUMIF(SIGAF!$B$2:$B$491,$A17,SIGAF!$K$2:$K$491)</f>
        <v>16847992.399999999</v>
      </c>
      <c r="L17" s="142">
        <f t="shared" si="6"/>
        <v>0.8889041049418035</v>
      </c>
      <c r="M17" s="13">
        <f>SUMIF(SIGAF!$B$2:$B$491,$A17,SIGAF!$L$2:$L$491)</f>
        <v>16847992.399999999</v>
      </c>
      <c r="N17" s="66">
        <f t="shared" si="3"/>
        <v>0.8889041049418035</v>
      </c>
      <c r="O17" s="85">
        <f>SUMIF(SIGAF!$B$2:$B$491,$A17,SIGAF!$M$2:$M$491)</f>
        <v>2105674.6</v>
      </c>
      <c r="P17" s="66">
        <f t="shared" si="4"/>
        <v>0.11109589505819639</v>
      </c>
      <c r="Q17" s="13">
        <f>SUMIF(SIGAF!$B$2:$B$491,$A17,SIGAF!$N$2:$N$491)</f>
        <v>2105674.6</v>
      </c>
      <c r="R17" s="66">
        <f t="shared" si="5"/>
        <v>0.11109589505819639</v>
      </c>
    </row>
    <row r="18" spans="1:18" x14ac:dyDescent="0.25">
      <c r="A18" s="11" t="s">
        <v>357</v>
      </c>
      <c r="B18" s="11" t="s">
        <v>358</v>
      </c>
      <c r="C18" s="13">
        <f>SUMIF(SIGAF!$B$2:$B$491,$A18,SIGAF!$F$2:$F$491)</f>
        <v>15000000</v>
      </c>
      <c r="D18" s="13">
        <f>SUMIF(SIGAF!$B$2:$B$491,$A18,SIGAF!$G$2:$G$491)</f>
        <v>15000000</v>
      </c>
      <c r="E18" s="13">
        <f>SUMIF(SIGAF!$B$2:$B$491,$A18,SIGAF!$H$2:$H$491)</f>
        <v>0</v>
      </c>
      <c r="F18" s="66">
        <f t="shared" si="1"/>
        <v>0</v>
      </c>
      <c r="G18" s="132">
        <f>SUMIF(SIGAF!$B$2:$B$491,$A18,SIGAF!$I$2:$I$491)</f>
        <v>0</v>
      </c>
      <c r="H18" s="66">
        <f t="shared" si="2"/>
        <v>0</v>
      </c>
      <c r="I18" s="13">
        <f>SUMIF(SIGAF!$B$2:$B$491,$A18,SIGAF!$J$2:$J$491)</f>
        <v>0</v>
      </c>
      <c r="J18" s="66">
        <f t="shared" si="2"/>
        <v>0</v>
      </c>
      <c r="K18" s="13">
        <f>SUMIF(SIGAF!$B$2:$B$491,$A18,SIGAF!$K$2:$K$491)</f>
        <v>12613806.5</v>
      </c>
      <c r="L18" s="142">
        <f t="shared" si="6"/>
        <v>0.84092043333333333</v>
      </c>
      <c r="M18" s="13">
        <f>SUMIF(SIGAF!$B$2:$B$491,$A18,SIGAF!$L$2:$L$491)</f>
        <v>12613806.5</v>
      </c>
      <c r="N18" s="66">
        <f t="shared" si="3"/>
        <v>0.84092043333333333</v>
      </c>
      <c r="O18" s="85">
        <f>SUMIF(SIGAF!$B$2:$B$491,$A18,SIGAF!$M$2:$M$491)</f>
        <v>2386193.5</v>
      </c>
      <c r="P18" s="66">
        <f t="shared" si="4"/>
        <v>0.15907956666666667</v>
      </c>
      <c r="Q18" s="13">
        <f>SUMIF(SIGAF!$B$2:$B$491,$A18,SIGAF!$N$2:$N$491)</f>
        <v>2386193.5</v>
      </c>
      <c r="R18" s="66">
        <f t="shared" si="5"/>
        <v>0.15907956666666667</v>
      </c>
    </row>
    <row r="19" spans="1:18" x14ac:dyDescent="0.25">
      <c r="A19" s="11" t="s">
        <v>359</v>
      </c>
      <c r="B19" s="11" t="s">
        <v>421</v>
      </c>
      <c r="C19" s="13">
        <f>SUMIF(SIGAF!$B$2:$B$491,$A19,SIGAF!$F$2:$F$491)</f>
        <v>3611434000</v>
      </c>
      <c r="D19" s="13">
        <f>SUMIF(SIGAF!$B$2:$B$491,$A19,SIGAF!$G$2:$G$491)</f>
        <v>3611434000</v>
      </c>
      <c r="E19" s="13">
        <f>SUMIF(SIGAF!$B$2:$B$491,$A19,SIGAF!$H$2:$H$491)</f>
        <v>0</v>
      </c>
      <c r="F19" s="66">
        <f t="shared" si="1"/>
        <v>0</v>
      </c>
      <c r="G19" s="132">
        <f>SUMIF(SIGAF!$B$2:$B$491,$A19,SIGAF!$I$2:$I$491)</f>
        <v>0</v>
      </c>
      <c r="H19" s="66">
        <f t="shared" si="2"/>
        <v>0</v>
      </c>
      <c r="I19" s="13">
        <f>SUMIF(SIGAF!$B$2:$B$491,$A19,SIGAF!$J$2:$J$491)</f>
        <v>0</v>
      </c>
      <c r="J19" s="66">
        <f t="shared" si="2"/>
        <v>0</v>
      </c>
      <c r="K19" s="13">
        <f>SUMIF(SIGAF!$B$2:$B$491,$A19,SIGAF!$K$2:$K$491)</f>
        <v>3537236273.6300001</v>
      </c>
      <c r="L19" s="142">
        <f t="shared" si="6"/>
        <v>0.97945477437217465</v>
      </c>
      <c r="M19" s="13">
        <f>SUMIF(SIGAF!$B$2:$B$491,$A19,SIGAF!$L$2:$L$491)</f>
        <v>3537236273.6300001</v>
      </c>
      <c r="N19" s="66">
        <f t="shared" si="3"/>
        <v>0.97945477437217465</v>
      </c>
      <c r="O19" s="85">
        <f>SUMIF(SIGAF!$B$2:$B$491,$A19,SIGAF!$M$2:$M$491)</f>
        <v>74197726.370000005</v>
      </c>
      <c r="P19" s="66">
        <f t="shared" si="4"/>
        <v>2.0545225627825403E-2</v>
      </c>
      <c r="Q19" s="13">
        <f>SUMIF(SIGAF!$B$2:$B$491,$A19,SIGAF!$N$2:$N$491)</f>
        <v>74197726.370000005</v>
      </c>
      <c r="R19" s="66">
        <f t="shared" si="5"/>
        <v>2.0545225627825403E-2</v>
      </c>
    </row>
    <row r="20" spans="1:18" x14ac:dyDescent="0.25">
      <c r="A20" s="11" t="s">
        <v>102</v>
      </c>
      <c r="B20" s="11" t="s">
        <v>422</v>
      </c>
      <c r="C20" s="13">
        <f>SUMIF(SIGAF!$B$2:$B$491,$A20,SIGAF!$F$2:$F$491)</f>
        <v>40068946019</v>
      </c>
      <c r="D20" s="13">
        <f>SUMIF(SIGAF!$B$2:$B$491,$A20,SIGAF!$G$2:$G$491)</f>
        <v>40068946019</v>
      </c>
      <c r="E20" s="13">
        <f>SUMIF(SIGAF!$B$2:$B$491,$A20,SIGAF!$H$2:$H$491)</f>
        <v>0</v>
      </c>
      <c r="F20" s="66">
        <f t="shared" si="1"/>
        <v>0</v>
      </c>
      <c r="G20" s="132">
        <f>SUMIF(SIGAF!$B$2:$B$491,$A20,SIGAF!$I$2:$I$491)</f>
        <v>0</v>
      </c>
      <c r="H20" s="66">
        <f t="shared" si="2"/>
        <v>0</v>
      </c>
      <c r="I20" s="13">
        <f>SUMIF(SIGAF!$B$2:$B$491,$A20,SIGAF!$J$2:$J$491)</f>
        <v>0</v>
      </c>
      <c r="J20" s="66">
        <f t="shared" si="2"/>
        <v>0</v>
      </c>
      <c r="K20" s="13">
        <f>SUMIF(SIGAF!$B$2:$B$491,$A20,SIGAF!$K$2:$K$491)</f>
        <v>38783403496.18</v>
      </c>
      <c r="L20" s="142">
        <f t="shared" si="6"/>
        <v>0.96791673726056038</v>
      </c>
      <c r="M20" s="13">
        <f>SUMIF(SIGAF!$B$2:$B$491,$A20,SIGAF!$L$2:$L$491)</f>
        <v>38783403496.18</v>
      </c>
      <c r="N20" s="66">
        <f t="shared" si="3"/>
        <v>0.96791673726056038</v>
      </c>
      <c r="O20" s="85">
        <f>SUMIF(SIGAF!$B$2:$B$491,$A20,SIGAF!$M$2:$M$491)</f>
        <v>1285542522.8199999</v>
      </c>
      <c r="P20" s="66">
        <f t="shared" si="4"/>
        <v>3.2083262739439615E-2</v>
      </c>
      <c r="Q20" s="13">
        <f>SUMIF(SIGAF!$B$2:$B$491,$A20,SIGAF!$N$2:$N$491)</f>
        <v>1285542522.8199999</v>
      </c>
      <c r="R20" s="66">
        <f t="shared" si="5"/>
        <v>3.2083262739439615E-2</v>
      </c>
    </row>
    <row r="21" spans="1:18" x14ac:dyDescent="0.25">
      <c r="A21" s="11" t="s">
        <v>104</v>
      </c>
      <c r="B21" s="11" t="s">
        <v>423</v>
      </c>
      <c r="C21" s="13">
        <f>SUMIF(SIGAF!$B$2:$B$491,$A21,SIGAF!$F$2:$F$491)</f>
        <v>11699468775</v>
      </c>
      <c r="D21" s="13">
        <f>SUMIF(SIGAF!$B$2:$B$491,$A21,SIGAF!$G$2:$G$491)</f>
        <v>11699468775</v>
      </c>
      <c r="E21" s="13">
        <f>SUMIF(SIGAF!$B$2:$B$491,$A21,SIGAF!$H$2:$H$491)</f>
        <v>0</v>
      </c>
      <c r="F21" s="66">
        <f t="shared" si="1"/>
        <v>0</v>
      </c>
      <c r="G21" s="132">
        <f>SUMIF(SIGAF!$B$2:$B$491,$A21,SIGAF!$I$2:$I$491)</f>
        <v>0</v>
      </c>
      <c r="H21" s="66">
        <f t="shared" si="2"/>
        <v>0</v>
      </c>
      <c r="I21" s="13">
        <f>SUMIF(SIGAF!$B$2:$B$491,$A21,SIGAF!$J$2:$J$491)</f>
        <v>0</v>
      </c>
      <c r="J21" s="66">
        <f t="shared" si="2"/>
        <v>0</v>
      </c>
      <c r="K21" s="13">
        <f>SUMIF(SIGAF!$B$2:$B$491,$A21,SIGAF!$K$2:$K$491)</f>
        <v>11280984112.76</v>
      </c>
      <c r="L21" s="142">
        <f t="shared" si="6"/>
        <v>0.96423045607555802</v>
      </c>
      <c r="M21" s="13">
        <f>SUMIF(SIGAF!$B$2:$B$491,$A21,SIGAF!$L$2:$L$491)</f>
        <v>11280984112.76</v>
      </c>
      <c r="N21" s="66">
        <f t="shared" si="3"/>
        <v>0.96423045607555802</v>
      </c>
      <c r="O21" s="85">
        <f>SUMIF(SIGAF!$B$2:$B$491,$A21,SIGAF!$M$2:$M$491)</f>
        <v>418484662.24000001</v>
      </c>
      <c r="P21" s="66">
        <f t="shared" si="4"/>
        <v>3.5769543924441989E-2</v>
      </c>
      <c r="Q21" s="13">
        <f>SUMIF(SIGAF!$B$2:$B$491,$A21,SIGAF!$N$2:$N$491)</f>
        <v>418484662.24000001</v>
      </c>
      <c r="R21" s="66">
        <f t="shared" si="5"/>
        <v>3.5769543924441989E-2</v>
      </c>
    </row>
    <row r="22" spans="1:18" x14ac:dyDescent="0.25">
      <c r="A22" s="11" t="s">
        <v>106</v>
      </c>
      <c r="B22" s="11" t="s">
        <v>424</v>
      </c>
      <c r="C22" s="13">
        <f>SUMIF(SIGAF!$B$2:$B$491,$A22,SIGAF!$F$2:$F$491)</f>
        <v>8077517267</v>
      </c>
      <c r="D22" s="13">
        <f>SUMIF(SIGAF!$B$2:$B$491,$A22,SIGAF!$G$2:$G$491)</f>
        <v>8077517267</v>
      </c>
      <c r="E22" s="13">
        <f>SUMIF(SIGAF!$B$2:$B$491,$A22,SIGAF!$H$2:$H$491)</f>
        <v>0</v>
      </c>
      <c r="F22" s="66">
        <f t="shared" si="1"/>
        <v>0</v>
      </c>
      <c r="G22" s="132">
        <f>SUMIF(SIGAF!$B$2:$B$491,$A22,SIGAF!$I$2:$I$491)</f>
        <v>0</v>
      </c>
      <c r="H22" s="66">
        <f t="shared" si="2"/>
        <v>0</v>
      </c>
      <c r="I22" s="13">
        <f>SUMIF(SIGAF!$B$2:$B$491,$A22,SIGAF!$J$2:$J$491)</f>
        <v>0</v>
      </c>
      <c r="J22" s="66">
        <f t="shared" si="2"/>
        <v>0</v>
      </c>
      <c r="K22" s="13">
        <f>SUMIF(SIGAF!$B$2:$B$491,$A22,SIGAF!$K$2:$K$491)</f>
        <v>7770879159.3299999</v>
      </c>
      <c r="L22" s="142">
        <f t="shared" si="6"/>
        <v>0.96203807462934887</v>
      </c>
      <c r="M22" s="13">
        <f>SUMIF(SIGAF!$B$2:$B$491,$A22,SIGAF!$L$2:$L$491)</f>
        <v>7770879159.3299999</v>
      </c>
      <c r="N22" s="66">
        <f t="shared" si="3"/>
        <v>0.96203807462934887</v>
      </c>
      <c r="O22" s="85">
        <f>SUMIF(SIGAF!$B$2:$B$491,$A22,SIGAF!$M$2:$M$491)</f>
        <v>306638107.66999996</v>
      </c>
      <c r="P22" s="66">
        <f t="shared" si="4"/>
        <v>3.7961925370651142E-2</v>
      </c>
      <c r="Q22" s="13">
        <f>SUMIF(SIGAF!$B$2:$B$491,$A22,SIGAF!$N$2:$N$491)</f>
        <v>306638107.66999996</v>
      </c>
      <c r="R22" s="66">
        <f t="shared" si="5"/>
        <v>3.7961925370651142E-2</v>
      </c>
    </row>
    <row r="23" spans="1:18" x14ac:dyDescent="0.25">
      <c r="A23" s="11" t="s">
        <v>112</v>
      </c>
      <c r="B23" s="11" t="s">
        <v>113</v>
      </c>
      <c r="C23" s="13">
        <f>SUMIF(SIGAF!$B$2:$B$491,$A23,SIGAF!$F$2:$F$491)</f>
        <v>5785022089</v>
      </c>
      <c r="D23" s="13">
        <f>SUMIF(SIGAF!$B$2:$B$491,$A23,SIGAF!$G$2:$G$491)</f>
        <v>5785022089</v>
      </c>
      <c r="E23" s="13">
        <f>SUMIF(SIGAF!$B$2:$B$491,$A23,SIGAF!$H$2:$H$491)</f>
        <v>0</v>
      </c>
      <c r="F23" s="66">
        <f t="shared" si="1"/>
        <v>0</v>
      </c>
      <c r="G23" s="132">
        <f>SUMIF(SIGAF!$B$2:$B$491,$A23,SIGAF!$I$2:$I$491)</f>
        <v>0</v>
      </c>
      <c r="H23" s="66">
        <f t="shared" si="2"/>
        <v>0</v>
      </c>
      <c r="I23" s="13">
        <f>SUMIF(SIGAF!$B$2:$B$491,$A23,SIGAF!$J$2:$J$491)</f>
        <v>0</v>
      </c>
      <c r="J23" s="66">
        <f t="shared" si="2"/>
        <v>0</v>
      </c>
      <c r="K23" s="13">
        <f>SUMIF(SIGAF!$B$2:$B$491,$A23,SIGAF!$K$2:$K$491)</f>
        <v>5619225735.7799997</v>
      </c>
      <c r="L23" s="142">
        <f t="shared" si="6"/>
        <v>0.97134041138144389</v>
      </c>
      <c r="M23" s="13">
        <f>SUMIF(SIGAF!$B$2:$B$491,$A23,SIGAF!$L$2:$L$491)</f>
        <v>5619225735.7799997</v>
      </c>
      <c r="N23" s="66">
        <f t="shared" si="3"/>
        <v>0.97134041138144389</v>
      </c>
      <c r="O23" s="85">
        <f>SUMIF(SIGAF!$B$2:$B$491,$A23,SIGAF!$M$2:$M$491)</f>
        <v>165796353.22</v>
      </c>
      <c r="P23" s="66">
        <f t="shared" si="4"/>
        <v>2.8659588618556095E-2</v>
      </c>
      <c r="Q23" s="13">
        <f>SUMIF(SIGAF!$B$2:$B$491,$A23,SIGAF!$N$2:$N$491)</f>
        <v>165796353.22</v>
      </c>
      <c r="R23" s="66">
        <f t="shared" si="5"/>
        <v>2.8659588618556095E-2</v>
      </c>
    </row>
    <row r="24" spans="1:18" x14ac:dyDescent="0.25">
      <c r="A24" s="11" t="s">
        <v>108</v>
      </c>
      <c r="B24" s="11" t="s">
        <v>109</v>
      </c>
      <c r="C24" s="13">
        <f>SUMIF(SIGAF!$B$2:$B$491,$A24,SIGAF!$F$2:$F$491)</f>
        <v>4943339000</v>
      </c>
      <c r="D24" s="13">
        <f>SUMIF(SIGAF!$B$2:$B$491,$A24,SIGAF!$G$2:$G$491)</f>
        <v>4943339000</v>
      </c>
      <c r="E24" s="13">
        <f>SUMIF(SIGAF!$B$2:$B$491,$A24,SIGAF!$H$2:$H$491)</f>
        <v>0</v>
      </c>
      <c r="F24" s="66">
        <f t="shared" si="1"/>
        <v>0</v>
      </c>
      <c r="G24" s="132">
        <f>SUMIF(SIGAF!$B$2:$B$491,$A24,SIGAF!$I$2:$I$491)</f>
        <v>0</v>
      </c>
      <c r="H24" s="66">
        <f t="shared" si="2"/>
        <v>0</v>
      </c>
      <c r="I24" s="13">
        <f>SUMIF(SIGAF!$B$2:$B$491,$A24,SIGAF!$J$2:$J$491)</f>
        <v>0</v>
      </c>
      <c r="J24" s="66">
        <f t="shared" si="2"/>
        <v>0</v>
      </c>
      <c r="K24" s="13">
        <f>SUMIF(SIGAF!$B$2:$B$491,$A24,SIGAF!$K$2:$K$491)</f>
        <v>4933675603.5199995</v>
      </c>
      <c r="L24" s="142">
        <f t="shared" si="6"/>
        <v>0.99804516815860689</v>
      </c>
      <c r="M24" s="13">
        <f>SUMIF(SIGAF!$B$2:$B$491,$A24,SIGAF!$L$2:$L$491)</f>
        <v>4933675603.5199995</v>
      </c>
      <c r="N24" s="66">
        <f t="shared" si="3"/>
        <v>0.99804516815860689</v>
      </c>
      <c r="O24" s="85">
        <f>SUMIF(SIGAF!$B$2:$B$491,$A24,SIGAF!$M$2:$M$491)</f>
        <v>9663396.4799999986</v>
      </c>
      <c r="P24" s="66">
        <f t="shared" si="4"/>
        <v>1.954831841393034E-3</v>
      </c>
      <c r="Q24" s="13">
        <f>SUMIF(SIGAF!$B$2:$B$491,$A24,SIGAF!$N$2:$N$491)</f>
        <v>9663396.4799999986</v>
      </c>
      <c r="R24" s="66">
        <f t="shared" si="5"/>
        <v>1.954831841393034E-3</v>
      </c>
    </row>
    <row r="25" spans="1:18" x14ac:dyDescent="0.25">
      <c r="A25" s="11" t="s">
        <v>110</v>
      </c>
      <c r="B25" s="11" t="s">
        <v>425</v>
      </c>
      <c r="C25" s="13">
        <f>SUMIF(SIGAF!$B$2:$B$491,$A25,SIGAF!$F$2:$F$491)</f>
        <v>9563598888</v>
      </c>
      <c r="D25" s="13">
        <f>SUMIF(SIGAF!$B$2:$B$491,$A25,SIGAF!$G$2:$G$491)</f>
        <v>9563598888</v>
      </c>
      <c r="E25" s="13">
        <f>SUMIF(SIGAF!$B$2:$B$491,$A25,SIGAF!$H$2:$H$491)</f>
        <v>0</v>
      </c>
      <c r="F25" s="66">
        <f t="shared" si="1"/>
        <v>0</v>
      </c>
      <c r="G25" s="132">
        <f>SUMIF(SIGAF!$B$2:$B$491,$A25,SIGAF!$I$2:$I$491)</f>
        <v>0</v>
      </c>
      <c r="H25" s="66">
        <f t="shared" si="2"/>
        <v>0</v>
      </c>
      <c r="I25" s="13">
        <f>SUMIF(SIGAF!$B$2:$B$491,$A25,SIGAF!$J$2:$J$491)</f>
        <v>0</v>
      </c>
      <c r="J25" s="66">
        <f t="shared" si="2"/>
        <v>0</v>
      </c>
      <c r="K25" s="13">
        <f>SUMIF(SIGAF!$B$2:$B$491,$A25,SIGAF!$K$2:$K$491)</f>
        <v>9178638884.7900009</v>
      </c>
      <c r="L25" s="142">
        <f t="shared" si="6"/>
        <v>0.9597473704493158</v>
      </c>
      <c r="M25" s="13">
        <f>SUMIF(SIGAF!$B$2:$B$491,$A25,SIGAF!$L$2:$L$491)</f>
        <v>9178638884.7900009</v>
      </c>
      <c r="N25" s="66">
        <f t="shared" si="3"/>
        <v>0.9597473704493158</v>
      </c>
      <c r="O25" s="85">
        <f>SUMIF(SIGAF!$B$2:$B$491,$A25,SIGAF!$M$2:$M$491)</f>
        <v>384960003.20999998</v>
      </c>
      <c r="P25" s="66">
        <f t="shared" si="4"/>
        <v>4.0252629550684267E-2</v>
      </c>
      <c r="Q25" s="13">
        <f>SUMIF(SIGAF!$B$2:$B$491,$A25,SIGAF!$N$2:$N$491)</f>
        <v>384960003.20999998</v>
      </c>
      <c r="R25" s="66">
        <f t="shared" si="5"/>
        <v>4.0252629550684267E-2</v>
      </c>
    </row>
    <row r="26" spans="1:18" x14ac:dyDescent="0.25">
      <c r="A26" s="11" t="s">
        <v>114</v>
      </c>
      <c r="B26" s="11" t="s">
        <v>426</v>
      </c>
      <c r="C26" s="13">
        <f>SUMIF(SIGAF!$B$2:$B$491,$A26,SIGAF!$F$2:$F$491)</f>
        <v>6887191746</v>
      </c>
      <c r="D26" s="13">
        <f>SUMIF(SIGAF!$B$2:$B$491,$A26,SIGAF!$G$2:$G$491)</f>
        <v>6887191746</v>
      </c>
      <c r="E26" s="13">
        <f>SUMIF(SIGAF!$B$2:$B$491,$A26,SIGAF!$H$2:$H$491)</f>
        <v>0</v>
      </c>
      <c r="F26" s="66">
        <f t="shared" si="1"/>
        <v>0</v>
      </c>
      <c r="G26" s="132">
        <f>SUMIF(SIGAF!$B$2:$B$491,$A26,SIGAF!$I$2:$I$491)</f>
        <v>0</v>
      </c>
      <c r="H26" s="66">
        <f t="shared" si="2"/>
        <v>0</v>
      </c>
      <c r="I26" s="13">
        <f>SUMIF(SIGAF!$B$2:$B$491,$A26,SIGAF!$J$2:$J$491)</f>
        <v>0</v>
      </c>
      <c r="J26" s="66">
        <f t="shared" si="2"/>
        <v>0</v>
      </c>
      <c r="K26" s="13">
        <f>SUMIF(SIGAF!$B$2:$B$491,$A26,SIGAF!$K$2:$K$491)</f>
        <v>6537809602</v>
      </c>
      <c r="L26" s="142">
        <f t="shared" si="6"/>
        <v>0.94927073952849983</v>
      </c>
      <c r="M26" s="13">
        <f>SUMIF(SIGAF!$B$2:$B$491,$A26,SIGAF!$L$2:$L$491)</f>
        <v>6537809602</v>
      </c>
      <c r="N26" s="66">
        <f t="shared" si="3"/>
        <v>0.94927073952849983</v>
      </c>
      <c r="O26" s="85">
        <f>SUMIF(SIGAF!$B$2:$B$491,$A26,SIGAF!$M$2:$M$491)</f>
        <v>349382144</v>
      </c>
      <c r="P26" s="66">
        <f t="shared" si="4"/>
        <v>5.0729260471500164E-2</v>
      </c>
      <c r="Q26" s="13">
        <f>SUMIF(SIGAF!$B$2:$B$491,$A26,SIGAF!$N$2:$N$491)</f>
        <v>349382144</v>
      </c>
      <c r="R26" s="66">
        <f t="shared" si="5"/>
        <v>5.0729260471500164E-2</v>
      </c>
    </row>
    <row r="27" spans="1:18" x14ac:dyDescent="0.25">
      <c r="A27" s="11" t="s">
        <v>404</v>
      </c>
      <c r="B27" s="11" t="s">
        <v>427</v>
      </c>
      <c r="C27" s="13">
        <f>SUM(C28:C32)</f>
        <v>6534349303</v>
      </c>
      <c r="D27" s="13">
        <f t="shared" ref="D27:G27" si="7">SUM(D28:D32)</f>
        <v>6534349303</v>
      </c>
      <c r="E27" s="13">
        <f t="shared" si="7"/>
        <v>0</v>
      </c>
      <c r="F27" s="66">
        <f t="shared" si="1"/>
        <v>0</v>
      </c>
      <c r="G27" s="132">
        <f t="shared" si="7"/>
        <v>0</v>
      </c>
      <c r="H27" s="66">
        <f t="shared" si="2"/>
        <v>0</v>
      </c>
      <c r="I27" s="13">
        <f t="shared" ref="I27" si="8">SUM(I28:I32)</f>
        <v>0</v>
      </c>
      <c r="J27" s="66">
        <f t="shared" si="2"/>
        <v>0</v>
      </c>
      <c r="K27" s="13">
        <f t="shared" ref="K27:Q27" si="9">SUM(K28:K32)</f>
        <v>6202557844</v>
      </c>
      <c r="L27" s="142">
        <f t="shared" si="6"/>
        <v>0.94922348904003795</v>
      </c>
      <c r="M27" s="13">
        <f t="shared" si="9"/>
        <v>6202557844</v>
      </c>
      <c r="N27" s="66">
        <f t="shared" si="3"/>
        <v>0.94922348904003795</v>
      </c>
      <c r="O27" s="13">
        <f t="shared" si="9"/>
        <v>331791459</v>
      </c>
      <c r="P27" s="66">
        <f t="shared" si="4"/>
        <v>5.0776510959962065E-2</v>
      </c>
      <c r="Q27" s="13">
        <f t="shared" si="9"/>
        <v>331791459</v>
      </c>
      <c r="R27" s="66">
        <f t="shared" si="5"/>
        <v>5.0776510959962065E-2</v>
      </c>
    </row>
    <row r="28" spans="1:18" x14ac:dyDescent="0.25">
      <c r="A28" s="11" t="s">
        <v>116</v>
      </c>
      <c r="B28" s="11" t="s">
        <v>428</v>
      </c>
      <c r="C28" s="13">
        <f>SUMIF(SIGAF!$B$2:$B$491,$A28,SIGAF!$F$2:$F$491)</f>
        <v>102394000</v>
      </c>
      <c r="D28" s="13">
        <f>SUMIF(SIGAF!$B$2:$B$491,$A28,SIGAF!$G$2:$G$491)</f>
        <v>102394000</v>
      </c>
      <c r="E28" s="13">
        <f>SUMIF(SIGAF!$B$2:$B$491,$A28,SIGAF!$H$2:$H$491)</f>
        <v>0</v>
      </c>
      <c r="F28" s="66">
        <f t="shared" si="1"/>
        <v>0</v>
      </c>
      <c r="G28" s="132">
        <f>SUMIF(SIGAF!$B$2:$B$491,$A28,SIGAF!$I$2:$I$491)</f>
        <v>0</v>
      </c>
      <c r="H28" s="66">
        <f t="shared" si="2"/>
        <v>0</v>
      </c>
      <c r="I28" s="13">
        <f>SUMIF(SIGAF!$B$2:$B$491,$A28,SIGAF!$J$2:$J$491)</f>
        <v>0</v>
      </c>
      <c r="J28" s="66">
        <f t="shared" si="2"/>
        <v>0</v>
      </c>
      <c r="K28" s="13">
        <f>SUMIF(SIGAF!$B$2:$B$491,$A28,SIGAF!$K$2:$K$491)</f>
        <v>91523398</v>
      </c>
      <c r="L28" s="142">
        <f t="shared" si="6"/>
        <v>0.89383555677090454</v>
      </c>
      <c r="M28" s="13">
        <f>SUMIF(SIGAF!$B$2:$B$491,$A28,SIGAF!$L$2:$L$491)</f>
        <v>91523398</v>
      </c>
      <c r="N28" s="66">
        <f t="shared" si="3"/>
        <v>0.89383555677090454</v>
      </c>
      <c r="O28" s="85">
        <f>SUMIF(SIGAF!$B$2:$B$491,$A28,SIGAF!$M$2:$M$491)</f>
        <v>10870602</v>
      </c>
      <c r="P28" s="66">
        <f t="shared" si="4"/>
        <v>0.10616444322909545</v>
      </c>
      <c r="Q28" s="13">
        <f>SUMIF(SIGAF!$B$2:$B$491,$A28,SIGAF!$N$2:$N$491)</f>
        <v>10870602</v>
      </c>
      <c r="R28" s="66">
        <f t="shared" si="5"/>
        <v>0.10616444322909545</v>
      </c>
    </row>
    <row r="29" spans="1:18" x14ac:dyDescent="0.25">
      <c r="A29" s="11" t="s">
        <v>307</v>
      </c>
      <c r="B29" s="11" t="s">
        <v>428</v>
      </c>
      <c r="C29" s="13">
        <f>SUMIF(SIGAF!$B$2:$B$491,$A29,SIGAF!$F$2:$F$491)</f>
        <v>63432000</v>
      </c>
      <c r="D29" s="13">
        <f>SUMIF(SIGAF!$B$2:$B$491,$A29,SIGAF!$G$2:$G$491)</f>
        <v>63432000</v>
      </c>
      <c r="E29" s="13">
        <f>SUMIF(SIGAF!$B$2:$B$491,$A29,SIGAF!$H$2:$H$491)</f>
        <v>0</v>
      </c>
      <c r="F29" s="66">
        <f t="shared" si="1"/>
        <v>0</v>
      </c>
      <c r="G29" s="132">
        <f>SUMIF(SIGAF!$B$2:$B$491,$A29,SIGAF!$I$2:$I$491)</f>
        <v>0</v>
      </c>
      <c r="H29" s="66">
        <f t="shared" si="2"/>
        <v>0</v>
      </c>
      <c r="I29" s="13">
        <f>SUMIF(SIGAF!$B$2:$B$491,$A29,SIGAF!$J$2:$J$491)</f>
        <v>0</v>
      </c>
      <c r="J29" s="66">
        <f t="shared" si="2"/>
        <v>0</v>
      </c>
      <c r="K29" s="13">
        <f>SUMIF(SIGAF!$B$2:$B$491,$A29,SIGAF!$K$2:$K$491)</f>
        <v>63429826</v>
      </c>
      <c r="L29" s="142">
        <f t="shared" si="6"/>
        <v>0.99996572707781561</v>
      </c>
      <c r="M29" s="13">
        <f>SUMIF(SIGAF!$B$2:$B$491,$A29,SIGAF!$L$2:$L$491)</f>
        <v>63429826</v>
      </c>
      <c r="N29" s="66">
        <f t="shared" si="3"/>
        <v>0.99996572707781561</v>
      </c>
      <c r="O29" s="85">
        <f>SUMIF(SIGAF!$B$2:$B$491,$A29,SIGAF!$M$2:$M$491)</f>
        <v>2174</v>
      </c>
      <c r="P29" s="66">
        <f t="shared" si="4"/>
        <v>3.427292218438643E-5</v>
      </c>
      <c r="Q29" s="13">
        <f>SUMIF(SIGAF!$B$2:$B$491,$A29,SIGAF!$N$2:$N$491)</f>
        <v>2174</v>
      </c>
      <c r="R29" s="66">
        <f t="shared" si="5"/>
        <v>3.427292218438643E-5</v>
      </c>
    </row>
    <row r="30" spans="1:18" x14ac:dyDescent="0.25">
      <c r="A30" s="11" t="s">
        <v>322</v>
      </c>
      <c r="B30" s="11" t="s">
        <v>428</v>
      </c>
      <c r="C30" s="13">
        <f>SUMIF(SIGAF!$B$2:$B$491,$A30,SIGAF!$F$2:$F$491)</f>
        <v>632901476</v>
      </c>
      <c r="D30" s="13">
        <f>SUMIF(SIGAF!$B$2:$B$491,$A30,SIGAF!$G$2:$G$491)</f>
        <v>632901476</v>
      </c>
      <c r="E30" s="13">
        <f>SUMIF(SIGAF!$B$2:$B$491,$A30,SIGAF!$H$2:$H$491)</f>
        <v>0</v>
      </c>
      <c r="F30" s="66">
        <f t="shared" si="1"/>
        <v>0</v>
      </c>
      <c r="G30" s="132">
        <f>SUMIF(SIGAF!$B$2:$B$491,$A30,SIGAF!$I$2:$I$491)</f>
        <v>0</v>
      </c>
      <c r="H30" s="66">
        <f t="shared" si="2"/>
        <v>0</v>
      </c>
      <c r="I30" s="13">
        <f>SUMIF(SIGAF!$B$2:$B$491,$A30,SIGAF!$J$2:$J$491)</f>
        <v>0</v>
      </c>
      <c r="J30" s="66">
        <f t="shared" si="2"/>
        <v>0</v>
      </c>
      <c r="K30" s="13">
        <f>SUMIF(SIGAF!$B$2:$B$491,$A30,SIGAF!$K$2:$K$491)</f>
        <v>584226534</v>
      </c>
      <c r="L30" s="142">
        <f t="shared" si="6"/>
        <v>0.9230923866576668</v>
      </c>
      <c r="M30" s="13">
        <f>SUMIF(SIGAF!$B$2:$B$491,$A30,SIGAF!$L$2:$L$491)</f>
        <v>584226534</v>
      </c>
      <c r="N30" s="66">
        <f t="shared" si="3"/>
        <v>0.9230923866576668</v>
      </c>
      <c r="O30" s="85">
        <f>SUMIF(SIGAF!$B$2:$B$491,$A30,SIGAF!$M$2:$M$491)</f>
        <v>48674942</v>
      </c>
      <c r="P30" s="66">
        <f t="shared" si="4"/>
        <v>7.6907613342333245E-2</v>
      </c>
      <c r="Q30" s="13">
        <f>SUMIF(SIGAF!$B$2:$B$491,$A30,SIGAF!$N$2:$N$491)</f>
        <v>48674942</v>
      </c>
      <c r="R30" s="66">
        <f t="shared" si="5"/>
        <v>7.6907613342333245E-2</v>
      </c>
    </row>
    <row r="31" spans="1:18" x14ac:dyDescent="0.25">
      <c r="A31" s="11" t="s">
        <v>361</v>
      </c>
      <c r="B31" s="11" t="s">
        <v>428</v>
      </c>
      <c r="C31" s="13">
        <f>SUMIF(SIGAF!$B$2:$B$491,$A31,SIGAF!$F$2:$F$491)</f>
        <v>4820585887</v>
      </c>
      <c r="D31" s="13">
        <f>SUMIF(SIGAF!$B$2:$B$491,$A31,SIGAF!$G$2:$G$491)</f>
        <v>4820585887</v>
      </c>
      <c r="E31" s="13">
        <f>SUMIF(SIGAF!$B$2:$B$491,$A31,SIGAF!$H$2:$H$491)</f>
        <v>0</v>
      </c>
      <c r="F31" s="66">
        <f t="shared" si="1"/>
        <v>0</v>
      </c>
      <c r="G31" s="132">
        <f>SUMIF(SIGAF!$B$2:$B$491,$A31,SIGAF!$I$2:$I$491)</f>
        <v>0</v>
      </c>
      <c r="H31" s="66">
        <f t="shared" si="2"/>
        <v>0</v>
      </c>
      <c r="I31" s="13">
        <f>SUMIF(SIGAF!$B$2:$B$491,$A31,SIGAF!$J$2:$J$491)</f>
        <v>0</v>
      </c>
      <c r="J31" s="66">
        <f t="shared" si="2"/>
        <v>0</v>
      </c>
      <c r="K31" s="13">
        <f>SUMIF(SIGAF!$B$2:$B$491,$A31,SIGAF!$K$2:$K$491)</f>
        <v>4579731453</v>
      </c>
      <c r="L31" s="142">
        <f t="shared" si="6"/>
        <v>0.9500362736717276</v>
      </c>
      <c r="M31" s="13">
        <f>SUMIF(SIGAF!$B$2:$B$491,$A31,SIGAF!$L$2:$L$491)</f>
        <v>4579731453</v>
      </c>
      <c r="N31" s="66">
        <f t="shared" si="3"/>
        <v>0.9500362736717276</v>
      </c>
      <c r="O31" s="85">
        <f>SUMIF(SIGAF!$B$2:$B$491,$A31,SIGAF!$M$2:$M$491)</f>
        <v>240854434</v>
      </c>
      <c r="P31" s="66">
        <f t="shared" si="4"/>
        <v>4.9963726328272347E-2</v>
      </c>
      <c r="Q31" s="13">
        <f>SUMIF(SIGAF!$B$2:$B$491,$A31,SIGAF!$N$2:$N$491)</f>
        <v>240854434</v>
      </c>
      <c r="R31" s="66">
        <f t="shared" si="5"/>
        <v>4.9963726328272347E-2</v>
      </c>
    </row>
    <row r="32" spans="1:18" x14ac:dyDescent="0.25">
      <c r="A32" s="11" t="s">
        <v>394</v>
      </c>
      <c r="B32" s="11" t="s">
        <v>428</v>
      </c>
      <c r="C32" s="13">
        <f>SUMIF(SIGAF!$B$2:$B$491,$A32,SIGAF!$F$2:$F$491)</f>
        <v>915035940</v>
      </c>
      <c r="D32" s="13">
        <f>SUMIF(SIGAF!$B$2:$B$491,$A32,SIGAF!$G$2:$G$491)</f>
        <v>915035940</v>
      </c>
      <c r="E32" s="13">
        <f>SUMIF(SIGAF!$B$2:$B$491,$A32,SIGAF!$H$2:$H$491)</f>
        <v>0</v>
      </c>
      <c r="F32" s="66">
        <f t="shared" si="1"/>
        <v>0</v>
      </c>
      <c r="G32" s="132">
        <f>SUMIF(SIGAF!$B$2:$B$491,$A32,SIGAF!$I$2:$I$491)</f>
        <v>0</v>
      </c>
      <c r="H32" s="66">
        <f t="shared" si="2"/>
        <v>0</v>
      </c>
      <c r="I32" s="13">
        <f>SUMIF(SIGAF!$B$2:$B$491,$A32,SIGAF!$J$2:$J$491)</f>
        <v>0</v>
      </c>
      <c r="J32" s="66">
        <f t="shared" si="2"/>
        <v>0</v>
      </c>
      <c r="K32" s="13">
        <f>SUMIF(SIGAF!$B$2:$B$491,$A32,SIGAF!$K$2:$K$491)</f>
        <v>883646633</v>
      </c>
      <c r="L32" s="142">
        <f t="shared" si="6"/>
        <v>0.9656960938605319</v>
      </c>
      <c r="M32" s="13">
        <f>SUMIF(SIGAF!$B$2:$B$491,$A32,SIGAF!$L$2:$L$491)</f>
        <v>883646633</v>
      </c>
      <c r="N32" s="66">
        <f t="shared" si="3"/>
        <v>0.9656960938605319</v>
      </c>
      <c r="O32" s="85">
        <f>SUMIF(SIGAF!$B$2:$B$491,$A32,SIGAF!$M$2:$M$491)</f>
        <v>31389307</v>
      </c>
      <c r="P32" s="66">
        <f t="shared" si="4"/>
        <v>3.430390613946814E-2</v>
      </c>
      <c r="Q32" s="13">
        <f>SUMIF(SIGAF!$B$2:$B$491,$A32,SIGAF!$N$2:$N$491)</f>
        <v>31389307</v>
      </c>
      <c r="R32" s="66">
        <f t="shared" si="5"/>
        <v>3.430390613946814E-2</v>
      </c>
    </row>
    <row r="33" spans="1:18" x14ac:dyDescent="0.25">
      <c r="A33" s="11" t="s">
        <v>405</v>
      </c>
      <c r="B33" s="11" t="s">
        <v>429</v>
      </c>
      <c r="C33" s="13">
        <f>SUM(C34:C38)</f>
        <v>352842443</v>
      </c>
      <c r="D33" s="13">
        <f t="shared" ref="D33:G33" si="10">SUM(D34:D38)</f>
        <v>352842443</v>
      </c>
      <c r="E33" s="13">
        <f t="shared" si="10"/>
        <v>0</v>
      </c>
      <c r="F33" s="66">
        <f t="shared" si="1"/>
        <v>0</v>
      </c>
      <c r="G33" s="132">
        <f t="shared" si="10"/>
        <v>0</v>
      </c>
      <c r="H33" s="66">
        <f t="shared" si="2"/>
        <v>0</v>
      </c>
      <c r="I33" s="13">
        <f t="shared" ref="I33" si="11">SUM(I34:I38)</f>
        <v>0</v>
      </c>
      <c r="J33" s="66">
        <f t="shared" si="2"/>
        <v>0</v>
      </c>
      <c r="K33" s="13">
        <f t="shared" ref="K33:Q33" si="12">SUM(K34:K38)</f>
        <v>335251758</v>
      </c>
      <c r="L33" s="142">
        <f t="shared" si="6"/>
        <v>0.95014577937269296</v>
      </c>
      <c r="M33" s="13">
        <f t="shared" si="12"/>
        <v>335251758</v>
      </c>
      <c r="N33" s="66">
        <f t="shared" si="3"/>
        <v>0.95014577937269296</v>
      </c>
      <c r="O33" s="13">
        <f t="shared" si="12"/>
        <v>17590685</v>
      </c>
      <c r="P33" s="66">
        <f t="shared" si="4"/>
        <v>4.9854220627307017E-2</v>
      </c>
      <c r="Q33" s="13">
        <f t="shared" si="12"/>
        <v>17590685</v>
      </c>
      <c r="R33" s="66">
        <f t="shared" si="5"/>
        <v>4.9854220627307017E-2</v>
      </c>
    </row>
    <row r="34" spans="1:18" x14ac:dyDescent="0.25">
      <c r="A34" s="11" t="s">
        <v>117</v>
      </c>
      <c r="B34" s="11" t="s">
        <v>430</v>
      </c>
      <c r="C34" s="13">
        <f>SUMIF(SIGAF!$B$2:$B$491,$A34,SIGAF!$F$2:$F$491)</f>
        <v>5536000</v>
      </c>
      <c r="D34" s="13">
        <f>SUMIF(SIGAF!$B$2:$B$491,$A34,SIGAF!$G$2:$G$491)</f>
        <v>5536000</v>
      </c>
      <c r="E34" s="13">
        <f>SUMIF(SIGAF!$B$2:$B$491,$A34,SIGAF!$H$2:$H$491)</f>
        <v>0</v>
      </c>
      <c r="F34" s="66">
        <f t="shared" si="1"/>
        <v>0</v>
      </c>
      <c r="G34" s="132">
        <f>SUMIF(SIGAF!$B$2:$B$491,$A34,SIGAF!$I$2:$I$491)</f>
        <v>0</v>
      </c>
      <c r="H34" s="66">
        <f t="shared" si="2"/>
        <v>0</v>
      </c>
      <c r="I34" s="13">
        <f>SUMIF(SIGAF!$B$2:$B$491,$A34,SIGAF!$J$2:$J$491)</f>
        <v>0</v>
      </c>
      <c r="J34" s="66">
        <f t="shared" si="2"/>
        <v>0</v>
      </c>
      <c r="K34" s="13">
        <f>SUMIF(SIGAF!$B$2:$B$491,$A34,SIGAF!$K$2:$K$491)</f>
        <v>4947202</v>
      </c>
      <c r="L34" s="142">
        <f t="shared" si="6"/>
        <v>0.89364197976878612</v>
      </c>
      <c r="M34" s="13">
        <f>SUMIF(SIGAF!$B$2:$B$491,$A34,SIGAF!$L$2:$L$491)</f>
        <v>4947202</v>
      </c>
      <c r="N34" s="66">
        <f t="shared" si="3"/>
        <v>0.89364197976878612</v>
      </c>
      <c r="O34" s="85">
        <f>SUMIF(SIGAF!$B$2:$B$491,$A34,SIGAF!$M$2:$M$491)</f>
        <v>588798</v>
      </c>
      <c r="P34" s="66">
        <f t="shared" si="4"/>
        <v>0.10635802023121388</v>
      </c>
      <c r="Q34" s="13">
        <f>SUMIF(SIGAF!$B$2:$B$491,$A34,SIGAF!$N$2:$N$491)</f>
        <v>588798</v>
      </c>
      <c r="R34" s="66">
        <f t="shared" si="5"/>
        <v>0.10635802023121388</v>
      </c>
    </row>
    <row r="35" spans="1:18" x14ac:dyDescent="0.25">
      <c r="A35" s="11" t="s">
        <v>308</v>
      </c>
      <c r="B35" s="11" t="s">
        <v>430</v>
      </c>
      <c r="C35" s="13">
        <f>SUMIF(SIGAF!$B$2:$B$491,$A35,SIGAF!$F$2:$F$491)</f>
        <v>3579000</v>
      </c>
      <c r="D35" s="13">
        <f>SUMIF(SIGAF!$B$2:$B$491,$A35,SIGAF!$G$2:$G$491)</f>
        <v>3579000</v>
      </c>
      <c r="E35" s="13">
        <f>SUMIF(SIGAF!$B$2:$B$491,$A35,SIGAF!$H$2:$H$491)</f>
        <v>0</v>
      </c>
      <c r="F35" s="66">
        <f t="shared" si="1"/>
        <v>0</v>
      </c>
      <c r="G35" s="132">
        <f>SUMIF(SIGAF!$B$2:$B$491,$A35,SIGAF!$I$2:$I$491)</f>
        <v>0</v>
      </c>
      <c r="H35" s="66">
        <f t="shared" si="2"/>
        <v>0</v>
      </c>
      <c r="I35" s="13">
        <f>SUMIF(SIGAF!$B$2:$B$491,$A35,SIGAF!$J$2:$J$491)</f>
        <v>0</v>
      </c>
      <c r="J35" s="66">
        <f t="shared" si="2"/>
        <v>0</v>
      </c>
      <c r="K35" s="13">
        <f>SUMIF(SIGAF!$B$2:$B$491,$A35,SIGAF!$K$2:$K$491)</f>
        <v>3457641</v>
      </c>
      <c r="L35" s="142">
        <f t="shared" si="6"/>
        <v>0.96609136630343673</v>
      </c>
      <c r="M35" s="13">
        <f>SUMIF(SIGAF!$B$2:$B$491,$A35,SIGAF!$L$2:$L$491)</f>
        <v>3457641</v>
      </c>
      <c r="N35" s="66">
        <f t="shared" si="3"/>
        <v>0.96609136630343673</v>
      </c>
      <c r="O35" s="85">
        <f>SUMIF(SIGAF!$B$2:$B$491,$A35,SIGAF!$M$2:$M$491)</f>
        <v>121359</v>
      </c>
      <c r="P35" s="66">
        <f t="shared" si="4"/>
        <v>3.3908633696563287E-2</v>
      </c>
      <c r="Q35" s="13">
        <f>SUMIF(SIGAF!$B$2:$B$491,$A35,SIGAF!$N$2:$N$491)</f>
        <v>121359</v>
      </c>
      <c r="R35" s="66">
        <f t="shared" si="5"/>
        <v>3.3908633696563287E-2</v>
      </c>
    </row>
    <row r="36" spans="1:18" x14ac:dyDescent="0.25">
      <c r="A36" s="11" t="s">
        <v>323</v>
      </c>
      <c r="B36" s="11" t="s">
        <v>430</v>
      </c>
      <c r="C36" s="13">
        <f>SUMIF(SIGAF!$B$2:$B$491,$A36,SIGAF!$F$2:$F$491)</f>
        <v>33670670</v>
      </c>
      <c r="D36" s="13">
        <f>SUMIF(SIGAF!$B$2:$B$491,$A36,SIGAF!$G$2:$G$491)</f>
        <v>33670670</v>
      </c>
      <c r="E36" s="13">
        <f>SUMIF(SIGAF!$B$2:$B$491,$A36,SIGAF!$H$2:$H$491)</f>
        <v>0</v>
      </c>
      <c r="F36" s="66">
        <f t="shared" si="1"/>
        <v>0</v>
      </c>
      <c r="G36" s="132">
        <f>SUMIF(SIGAF!$B$2:$B$491,$A36,SIGAF!$I$2:$I$491)</f>
        <v>0</v>
      </c>
      <c r="H36" s="66">
        <f t="shared" si="2"/>
        <v>0</v>
      </c>
      <c r="I36" s="13">
        <f>SUMIF(SIGAF!$B$2:$B$491,$A36,SIGAF!$J$2:$J$491)</f>
        <v>0</v>
      </c>
      <c r="J36" s="66">
        <f t="shared" si="2"/>
        <v>0</v>
      </c>
      <c r="K36" s="13">
        <f>SUMIF(SIGAF!$B$2:$B$491,$A36,SIGAF!$K$2:$K$491)</f>
        <v>31571114</v>
      </c>
      <c r="L36" s="142">
        <f t="shared" si="6"/>
        <v>0.93764436525914097</v>
      </c>
      <c r="M36" s="13">
        <f>SUMIF(SIGAF!$B$2:$B$491,$A36,SIGAF!$L$2:$L$491)</f>
        <v>31571114</v>
      </c>
      <c r="N36" s="66">
        <f t="shared" si="3"/>
        <v>0.93764436525914097</v>
      </c>
      <c r="O36" s="85">
        <f>SUMIF(SIGAF!$B$2:$B$491,$A36,SIGAF!$M$2:$M$491)</f>
        <v>2099556</v>
      </c>
      <c r="P36" s="66">
        <f t="shared" si="4"/>
        <v>6.2355634740859034E-2</v>
      </c>
      <c r="Q36" s="13">
        <f>SUMIF(SIGAF!$B$2:$B$491,$A36,SIGAF!$N$2:$N$491)</f>
        <v>2099556</v>
      </c>
      <c r="R36" s="66">
        <f t="shared" si="5"/>
        <v>6.2355634740859034E-2</v>
      </c>
    </row>
    <row r="37" spans="1:18" x14ac:dyDescent="0.25">
      <c r="A37" s="11" t="s">
        <v>362</v>
      </c>
      <c r="B37" s="11" t="s">
        <v>430</v>
      </c>
      <c r="C37" s="13">
        <f>SUMIF(SIGAF!$B$2:$B$491,$A37,SIGAF!$F$2:$F$491)</f>
        <v>260594913</v>
      </c>
      <c r="D37" s="13">
        <f>SUMIF(SIGAF!$B$2:$B$491,$A37,SIGAF!$G$2:$G$491)</f>
        <v>260594913</v>
      </c>
      <c r="E37" s="13">
        <f>SUMIF(SIGAF!$B$2:$B$491,$A37,SIGAF!$H$2:$H$491)</f>
        <v>0</v>
      </c>
      <c r="F37" s="66">
        <f t="shared" si="1"/>
        <v>0</v>
      </c>
      <c r="G37" s="132">
        <f>SUMIF(SIGAF!$B$2:$B$491,$A37,SIGAF!$I$2:$I$491)</f>
        <v>0</v>
      </c>
      <c r="H37" s="66">
        <f t="shared" si="2"/>
        <v>0</v>
      </c>
      <c r="I37" s="13">
        <f>SUMIF(SIGAF!$B$2:$B$491,$A37,SIGAF!$J$2:$J$491)</f>
        <v>0</v>
      </c>
      <c r="J37" s="66">
        <f t="shared" si="2"/>
        <v>0</v>
      </c>
      <c r="K37" s="13">
        <f>SUMIF(SIGAF!$B$2:$B$491,$A37,SIGAF!$K$2:$K$491)</f>
        <v>247513706</v>
      </c>
      <c r="L37" s="142">
        <f t="shared" si="6"/>
        <v>0.94980252358187822</v>
      </c>
      <c r="M37" s="13">
        <f>SUMIF(SIGAF!$B$2:$B$491,$A37,SIGAF!$L$2:$L$491)</f>
        <v>247513706</v>
      </c>
      <c r="N37" s="66">
        <f t="shared" si="3"/>
        <v>0.94980252358187822</v>
      </c>
      <c r="O37" s="85">
        <f>SUMIF(SIGAF!$B$2:$B$491,$A37,SIGAF!$M$2:$M$491)</f>
        <v>13081207</v>
      </c>
      <c r="P37" s="66">
        <f t="shared" si="4"/>
        <v>5.0197476418121792E-2</v>
      </c>
      <c r="Q37" s="13">
        <f>SUMIF(SIGAF!$B$2:$B$491,$A37,SIGAF!$N$2:$N$491)</f>
        <v>13081207</v>
      </c>
      <c r="R37" s="66">
        <f t="shared" si="5"/>
        <v>5.0197476418121792E-2</v>
      </c>
    </row>
    <row r="38" spans="1:18" x14ac:dyDescent="0.25">
      <c r="A38" s="11" t="s">
        <v>395</v>
      </c>
      <c r="B38" s="11" t="s">
        <v>430</v>
      </c>
      <c r="C38" s="13">
        <f>SUMIF(SIGAF!$B$2:$B$491,$A38,SIGAF!$F$2:$F$491)</f>
        <v>49461860</v>
      </c>
      <c r="D38" s="13">
        <f>SUMIF(SIGAF!$B$2:$B$491,$A38,SIGAF!$G$2:$G$491)</f>
        <v>49461860</v>
      </c>
      <c r="E38" s="13">
        <f>SUMIF(SIGAF!$B$2:$B$491,$A38,SIGAF!$H$2:$H$491)</f>
        <v>0</v>
      </c>
      <c r="F38" s="66">
        <f t="shared" si="1"/>
        <v>0</v>
      </c>
      <c r="G38" s="132">
        <f>SUMIF(SIGAF!$B$2:$B$491,$A38,SIGAF!$I$2:$I$491)</f>
        <v>0</v>
      </c>
      <c r="H38" s="66">
        <f t="shared" si="2"/>
        <v>0</v>
      </c>
      <c r="I38" s="13">
        <f>SUMIF(SIGAF!$B$2:$B$491,$A38,SIGAF!$J$2:$J$491)</f>
        <v>0</v>
      </c>
      <c r="J38" s="66">
        <f t="shared" si="2"/>
        <v>0</v>
      </c>
      <c r="K38" s="13">
        <f>SUMIF(SIGAF!$B$2:$B$491,$A38,SIGAF!$K$2:$K$491)</f>
        <v>47762095</v>
      </c>
      <c r="L38" s="142">
        <f t="shared" si="6"/>
        <v>0.9656348345978093</v>
      </c>
      <c r="M38" s="13">
        <f>SUMIF(SIGAF!$B$2:$B$491,$A38,SIGAF!$L$2:$L$491)</f>
        <v>47762095</v>
      </c>
      <c r="N38" s="66">
        <f t="shared" si="3"/>
        <v>0.9656348345978093</v>
      </c>
      <c r="O38" s="85">
        <f>SUMIF(SIGAF!$B$2:$B$491,$A38,SIGAF!$M$2:$M$491)</f>
        <v>1699765</v>
      </c>
      <c r="P38" s="66">
        <f t="shared" si="4"/>
        <v>3.43651654021907E-2</v>
      </c>
      <c r="Q38" s="13">
        <f>SUMIF(SIGAF!$B$2:$B$491,$A38,SIGAF!$N$2:$N$491)</f>
        <v>1699765</v>
      </c>
      <c r="R38" s="66">
        <f t="shared" si="5"/>
        <v>3.43651654021907E-2</v>
      </c>
    </row>
    <row r="39" spans="1:18" x14ac:dyDescent="0.25">
      <c r="A39" s="11" t="s">
        <v>118</v>
      </c>
      <c r="B39" s="11" t="s">
        <v>431</v>
      </c>
      <c r="C39" s="13">
        <f>SUMIF(SIGAF!$B$2:$B$491,$A39,SIGAF!$F$2:$F$491)</f>
        <v>6763046582</v>
      </c>
      <c r="D39" s="13">
        <f>SUMIF(SIGAF!$B$2:$B$491,$A39,SIGAF!$G$2:$G$491)</f>
        <v>6763046582</v>
      </c>
      <c r="E39" s="13">
        <f>SUMIF(SIGAF!$B$2:$B$491,$A39,SIGAF!$H$2:$H$491)</f>
        <v>0</v>
      </c>
      <c r="F39" s="66">
        <f t="shared" si="1"/>
        <v>0</v>
      </c>
      <c r="G39" s="132">
        <f>SUMIF(SIGAF!$B$2:$B$491,$A39,SIGAF!$I$2:$I$491)</f>
        <v>0</v>
      </c>
      <c r="H39" s="66">
        <f t="shared" si="2"/>
        <v>0</v>
      </c>
      <c r="I39" s="13">
        <f>SUMIF(SIGAF!$B$2:$B$491,$A39,SIGAF!$J$2:$J$491)</f>
        <v>0</v>
      </c>
      <c r="J39" s="66">
        <f t="shared" si="2"/>
        <v>0</v>
      </c>
      <c r="K39" s="13">
        <f>SUMIF(SIGAF!$B$2:$B$491,$A39,SIGAF!$K$2:$K$491)</f>
        <v>6415558585.8400002</v>
      </c>
      <c r="L39" s="142">
        <f t="shared" si="6"/>
        <v>0.94861960627554354</v>
      </c>
      <c r="M39" s="13">
        <f>SUMIF(SIGAF!$B$2:$B$491,$A39,SIGAF!$L$2:$L$491)</f>
        <v>6415558585.8400002</v>
      </c>
      <c r="N39" s="66">
        <f t="shared" si="3"/>
        <v>0.94861960627554354</v>
      </c>
      <c r="O39" s="85">
        <f>SUMIF(SIGAF!$B$2:$B$491,$A39,SIGAF!$M$2:$M$491)</f>
        <v>347487996.16000003</v>
      </c>
      <c r="P39" s="66">
        <f t="shared" si="4"/>
        <v>5.1380393724456533E-2</v>
      </c>
      <c r="Q39" s="13">
        <f>SUMIF(SIGAF!$B$2:$B$491,$A39,SIGAF!$N$2:$N$491)</f>
        <v>347487996.16000003</v>
      </c>
      <c r="R39" s="66">
        <f t="shared" si="5"/>
        <v>5.1380393724456533E-2</v>
      </c>
    </row>
    <row r="40" spans="1:18" x14ac:dyDescent="0.25">
      <c r="A40" s="11" t="s">
        <v>406</v>
      </c>
      <c r="B40" s="11" t="s">
        <v>432</v>
      </c>
      <c r="C40" s="13">
        <f>SUM(C41:C45)</f>
        <v>3498204785</v>
      </c>
      <c r="D40" s="13">
        <f t="shared" ref="D40:G40" si="13">SUM(D41:D45)</f>
        <v>3498204785</v>
      </c>
      <c r="E40" s="13">
        <f t="shared" si="13"/>
        <v>0</v>
      </c>
      <c r="F40" s="66">
        <f t="shared" si="1"/>
        <v>0</v>
      </c>
      <c r="G40" s="132">
        <f t="shared" si="13"/>
        <v>0</v>
      </c>
      <c r="H40" s="66">
        <f t="shared" si="2"/>
        <v>0</v>
      </c>
      <c r="I40" s="13">
        <f t="shared" ref="I40" si="14">SUM(I41:I45)</f>
        <v>0</v>
      </c>
      <c r="J40" s="66">
        <f t="shared" si="2"/>
        <v>0</v>
      </c>
      <c r="K40" s="13">
        <f t="shared" ref="K40:Q40" si="15">SUM(K41:K45)</f>
        <v>3307789009</v>
      </c>
      <c r="L40" s="142">
        <f t="shared" si="6"/>
        <v>0.9455675731688189</v>
      </c>
      <c r="M40" s="13">
        <f t="shared" si="15"/>
        <v>3307789009</v>
      </c>
      <c r="N40" s="66">
        <f t="shared" si="3"/>
        <v>0.9455675731688189</v>
      </c>
      <c r="O40" s="13">
        <f t="shared" si="15"/>
        <v>190415776</v>
      </c>
      <c r="P40" s="66">
        <f t="shared" si="4"/>
        <v>5.4432426831181067E-2</v>
      </c>
      <c r="Q40" s="13">
        <f t="shared" si="15"/>
        <v>190415776</v>
      </c>
      <c r="R40" s="66">
        <f t="shared" si="5"/>
        <v>5.4432426831181067E-2</v>
      </c>
    </row>
    <row r="41" spans="1:18" x14ac:dyDescent="0.25">
      <c r="A41" s="11" t="s">
        <v>120</v>
      </c>
      <c r="B41" s="11" t="s">
        <v>433</v>
      </c>
      <c r="C41" s="13">
        <f>SUMIF(SIGAF!$B$2:$B$491,$A41,SIGAF!$F$2:$F$491)</f>
        <v>56274000</v>
      </c>
      <c r="D41" s="13">
        <f>SUMIF(SIGAF!$B$2:$B$491,$A41,SIGAF!$G$2:$G$491)</f>
        <v>56274000</v>
      </c>
      <c r="E41" s="13">
        <f>SUMIF(SIGAF!$B$2:$B$491,$A41,SIGAF!$H$2:$H$491)</f>
        <v>0</v>
      </c>
      <c r="F41" s="66">
        <f t="shared" si="1"/>
        <v>0</v>
      </c>
      <c r="G41" s="132">
        <f>SUMIF(SIGAF!$B$2:$B$491,$A41,SIGAF!$I$2:$I$491)</f>
        <v>0</v>
      </c>
      <c r="H41" s="66">
        <f t="shared" si="2"/>
        <v>0</v>
      </c>
      <c r="I41" s="13">
        <f>SUMIF(SIGAF!$B$2:$B$491,$A41,SIGAF!$J$2:$J$491)</f>
        <v>0</v>
      </c>
      <c r="J41" s="66">
        <f t="shared" si="2"/>
        <v>0</v>
      </c>
      <c r="K41" s="13">
        <f>SUMIF(SIGAF!$B$2:$B$491,$A41,SIGAF!$K$2:$K$491)</f>
        <v>50263662</v>
      </c>
      <c r="L41" s="142">
        <f t="shared" si="6"/>
        <v>0.89319511675018659</v>
      </c>
      <c r="M41" s="13">
        <f>SUMIF(SIGAF!$B$2:$B$491,$A41,SIGAF!$L$2:$L$491)</f>
        <v>50263662</v>
      </c>
      <c r="N41" s="66">
        <f t="shared" si="3"/>
        <v>0.89319511675018659</v>
      </c>
      <c r="O41" s="85">
        <f>SUMIF(SIGAF!$B$2:$B$491,$A41,SIGAF!$M$2:$M$491)</f>
        <v>6010338</v>
      </c>
      <c r="P41" s="66">
        <f t="shared" si="4"/>
        <v>0.10680488324981341</v>
      </c>
      <c r="Q41" s="13">
        <f>SUMIF(SIGAF!$B$2:$B$491,$A41,SIGAF!$N$2:$N$491)</f>
        <v>6010338</v>
      </c>
      <c r="R41" s="66">
        <f t="shared" si="5"/>
        <v>0.10680488324981341</v>
      </c>
    </row>
    <row r="42" spans="1:18" x14ac:dyDescent="0.25">
      <c r="A42" s="11" t="s">
        <v>309</v>
      </c>
      <c r="B42" s="11" t="s">
        <v>433</v>
      </c>
      <c r="C42" s="13">
        <f>SUMIF(SIGAF!$B$2:$B$491,$A42,SIGAF!$F$2:$F$491)</f>
        <v>35423000</v>
      </c>
      <c r="D42" s="13">
        <f>SUMIF(SIGAF!$B$2:$B$491,$A42,SIGAF!$G$2:$G$491)</f>
        <v>35423000</v>
      </c>
      <c r="E42" s="13">
        <f>SUMIF(SIGAF!$B$2:$B$491,$A42,SIGAF!$H$2:$H$491)</f>
        <v>0</v>
      </c>
      <c r="F42" s="66">
        <f t="shared" si="1"/>
        <v>0</v>
      </c>
      <c r="G42" s="132">
        <f>SUMIF(SIGAF!$B$2:$B$491,$A42,SIGAF!$I$2:$I$491)</f>
        <v>0</v>
      </c>
      <c r="H42" s="66">
        <f t="shared" si="2"/>
        <v>0</v>
      </c>
      <c r="I42" s="13">
        <f>SUMIF(SIGAF!$B$2:$B$491,$A42,SIGAF!$J$2:$J$491)</f>
        <v>0</v>
      </c>
      <c r="J42" s="66">
        <f t="shared" si="2"/>
        <v>0</v>
      </c>
      <c r="K42" s="13">
        <f>SUMIF(SIGAF!$B$2:$B$491,$A42,SIGAF!$K$2:$K$491)</f>
        <v>35398367</v>
      </c>
      <c r="L42" s="142">
        <f t="shared" si="6"/>
        <v>0.99930460435310386</v>
      </c>
      <c r="M42" s="13">
        <f>SUMIF(SIGAF!$B$2:$B$491,$A42,SIGAF!$L$2:$L$491)</f>
        <v>35398367</v>
      </c>
      <c r="N42" s="66">
        <f t="shared" si="3"/>
        <v>0.99930460435310386</v>
      </c>
      <c r="O42" s="85">
        <f>SUMIF(SIGAF!$B$2:$B$491,$A42,SIGAF!$M$2:$M$491)</f>
        <v>24633</v>
      </c>
      <c r="P42" s="66">
        <f t="shared" si="4"/>
        <v>6.9539564689608446E-4</v>
      </c>
      <c r="Q42" s="13">
        <f>SUMIF(SIGAF!$B$2:$B$491,$A42,SIGAF!$N$2:$N$491)</f>
        <v>24633</v>
      </c>
      <c r="R42" s="66">
        <f t="shared" si="5"/>
        <v>6.9539564689608446E-4</v>
      </c>
    </row>
    <row r="43" spans="1:18" x14ac:dyDescent="0.25">
      <c r="A43" s="11" t="s">
        <v>324</v>
      </c>
      <c r="B43" s="11" t="s">
        <v>433</v>
      </c>
      <c r="C43" s="13">
        <f>SUMIF(SIGAF!$B$2:$B$491,$A43,SIGAF!$F$2:$F$491)</f>
        <v>342090641</v>
      </c>
      <c r="D43" s="13">
        <f>SUMIF(SIGAF!$B$2:$B$491,$A43,SIGAF!$G$2:$G$491)</f>
        <v>342090641</v>
      </c>
      <c r="E43" s="13">
        <f>SUMIF(SIGAF!$B$2:$B$491,$A43,SIGAF!$H$2:$H$491)</f>
        <v>0</v>
      </c>
      <c r="F43" s="66">
        <f t="shared" si="1"/>
        <v>0</v>
      </c>
      <c r="G43" s="132">
        <f>SUMIF(SIGAF!$B$2:$B$491,$A43,SIGAF!$I$2:$I$491)</f>
        <v>0</v>
      </c>
      <c r="H43" s="66">
        <f t="shared" si="2"/>
        <v>0</v>
      </c>
      <c r="I43" s="13">
        <f>SUMIF(SIGAF!$B$2:$B$491,$A43,SIGAF!$J$2:$J$491)</f>
        <v>0</v>
      </c>
      <c r="J43" s="66">
        <f t="shared" si="2"/>
        <v>0</v>
      </c>
      <c r="K43" s="13">
        <f>SUMIF(SIGAF!$B$2:$B$491,$A43,SIGAF!$K$2:$K$491)</f>
        <v>305530257</v>
      </c>
      <c r="L43" s="142">
        <f t="shared" si="6"/>
        <v>0.8931266172815292</v>
      </c>
      <c r="M43" s="13">
        <f>SUMIF(SIGAF!$B$2:$B$491,$A43,SIGAF!$L$2:$L$491)</f>
        <v>305530257</v>
      </c>
      <c r="N43" s="66">
        <f t="shared" si="3"/>
        <v>0.8931266172815292</v>
      </c>
      <c r="O43" s="85">
        <f>SUMIF(SIGAF!$B$2:$B$491,$A43,SIGAF!$M$2:$M$491)</f>
        <v>36560384</v>
      </c>
      <c r="P43" s="66">
        <f t="shared" si="4"/>
        <v>0.1068733827184708</v>
      </c>
      <c r="Q43" s="13">
        <f>SUMIF(SIGAF!$B$2:$B$491,$A43,SIGAF!$N$2:$N$491)</f>
        <v>36560384</v>
      </c>
      <c r="R43" s="66">
        <f t="shared" si="5"/>
        <v>0.1068733827184708</v>
      </c>
    </row>
    <row r="44" spans="1:18" x14ac:dyDescent="0.25">
      <c r="A44" s="11" t="s">
        <v>363</v>
      </c>
      <c r="B44" s="11" t="s">
        <v>433</v>
      </c>
      <c r="C44" s="13">
        <f>SUMIF(SIGAF!$B$2:$B$491,$A44,SIGAF!$F$2:$F$491)</f>
        <v>2646889074</v>
      </c>
      <c r="D44" s="13">
        <f>SUMIF(SIGAF!$B$2:$B$491,$A44,SIGAF!$G$2:$G$491)</f>
        <v>2646889074</v>
      </c>
      <c r="E44" s="13">
        <f>SUMIF(SIGAF!$B$2:$B$491,$A44,SIGAF!$H$2:$H$491)</f>
        <v>0</v>
      </c>
      <c r="F44" s="66">
        <f t="shared" si="1"/>
        <v>0</v>
      </c>
      <c r="G44" s="132">
        <f>SUMIF(SIGAF!$B$2:$B$491,$A44,SIGAF!$I$2:$I$491)</f>
        <v>0</v>
      </c>
      <c r="H44" s="66">
        <f t="shared" si="2"/>
        <v>0</v>
      </c>
      <c r="I44" s="13">
        <f>SUMIF(SIGAF!$B$2:$B$491,$A44,SIGAF!$J$2:$J$491)</f>
        <v>0</v>
      </c>
      <c r="J44" s="66">
        <f t="shared" si="2"/>
        <v>0</v>
      </c>
      <c r="K44" s="13">
        <f>SUMIF(SIGAF!$B$2:$B$491,$A44,SIGAF!$K$2:$K$491)</f>
        <v>2510231685</v>
      </c>
      <c r="L44" s="142">
        <f t="shared" si="6"/>
        <v>0.948370564394872</v>
      </c>
      <c r="M44" s="13">
        <f>SUMIF(SIGAF!$B$2:$B$491,$A44,SIGAF!$L$2:$L$491)</f>
        <v>2510231685</v>
      </c>
      <c r="N44" s="66">
        <f t="shared" si="3"/>
        <v>0.948370564394872</v>
      </c>
      <c r="O44" s="85">
        <f>SUMIF(SIGAF!$B$2:$B$491,$A44,SIGAF!$M$2:$M$491)</f>
        <v>136657389</v>
      </c>
      <c r="P44" s="66">
        <f t="shared" si="4"/>
        <v>5.1629435605128046E-2</v>
      </c>
      <c r="Q44" s="13">
        <f>SUMIF(SIGAF!$B$2:$B$491,$A44,SIGAF!$N$2:$N$491)</f>
        <v>136657389</v>
      </c>
      <c r="R44" s="66">
        <f t="shared" si="5"/>
        <v>5.1629435605128046E-2</v>
      </c>
    </row>
    <row r="45" spans="1:18" x14ac:dyDescent="0.25">
      <c r="A45" s="11" t="s">
        <v>396</v>
      </c>
      <c r="B45" s="11" t="s">
        <v>433</v>
      </c>
      <c r="C45" s="13">
        <f>SUMIF(SIGAF!$B$2:$B$491,$A45,SIGAF!$F$2:$F$491)</f>
        <v>417528070</v>
      </c>
      <c r="D45" s="13">
        <f>SUMIF(SIGAF!$B$2:$B$491,$A45,SIGAF!$G$2:$G$491)</f>
        <v>417528070</v>
      </c>
      <c r="E45" s="13">
        <f>SUMIF(SIGAF!$B$2:$B$491,$A45,SIGAF!$H$2:$H$491)</f>
        <v>0</v>
      </c>
      <c r="F45" s="66">
        <f t="shared" si="1"/>
        <v>0</v>
      </c>
      <c r="G45" s="132">
        <f>SUMIF(SIGAF!$B$2:$B$491,$A45,SIGAF!$I$2:$I$491)</f>
        <v>0</v>
      </c>
      <c r="H45" s="66">
        <f t="shared" si="2"/>
        <v>0</v>
      </c>
      <c r="I45" s="13">
        <f>SUMIF(SIGAF!$B$2:$B$491,$A45,SIGAF!$J$2:$J$491)</f>
        <v>0</v>
      </c>
      <c r="J45" s="66">
        <f t="shared" si="2"/>
        <v>0</v>
      </c>
      <c r="K45" s="13">
        <f>SUMIF(SIGAF!$B$2:$B$491,$A45,SIGAF!$K$2:$K$491)</f>
        <v>406365038</v>
      </c>
      <c r="L45" s="142">
        <f t="shared" si="6"/>
        <v>0.97326399635837657</v>
      </c>
      <c r="M45" s="13">
        <f>SUMIF(SIGAF!$B$2:$B$491,$A45,SIGAF!$L$2:$L$491)</f>
        <v>406365038</v>
      </c>
      <c r="N45" s="66">
        <f t="shared" si="3"/>
        <v>0.97326399635837657</v>
      </c>
      <c r="O45" s="85">
        <f>SUMIF(SIGAF!$B$2:$B$491,$A45,SIGAF!$M$2:$M$491)</f>
        <v>11163032</v>
      </c>
      <c r="P45" s="66">
        <f t="shared" si="4"/>
        <v>2.6736003641623426E-2</v>
      </c>
      <c r="Q45" s="13">
        <f>SUMIF(SIGAF!$B$2:$B$491,$A45,SIGAF!$N$2:$N$491)</f>
        <v>11163032</v>
      </c>
      <c r="R45" s="66">
        <f t="shared" si="5"/>
        <v>2.6736003641623426E-2</v>
      </c>
    </row>
    <row r="46" spans="1:18" x14ac:dyDescent="0.25">
      <c r="A46" s="11" t="s">
        <v>407</v>
      </c>
      <c r="B46" s="11" t="s">
        <v>434</v>
      </c>
      <c r="C46" s="13">
        <f>SUM(C47:C51)</f>
        <v>1058152235</v>
      </c>
      <c r="D46" s="13">
        <f t="shared" ref="D46:G46" si="16">SUM(D47:D51)</f>
        <v>1058152235</v>
      </c>
      <c r="E46" s="13">
        <f t="shared" si="16"/>
        <v>0</v>
      </c>
      <c r="F46" s="66">
        <f t="shared" si="1"/>
        <v>0</v>
      </c>
      <c r="G46" s="132">
        <f t="shared" si="16"/>
        <v>0</v>
      </c>
      <c r="H46" s="66">
        <f t="shared" si="2"/>
        <v>0</v>
      </c>
      <c r="I46" s="13">
        <f t="shared" ref="I46" si="17">SUM(I47:I51)</f>
        <v>0</v>
      </c>
      <c r="J46" s="66">
        <f t="shared" si="2"/>
        <v>0</v>
      </c>
      <c r="K46" s="13">
        <f t="shared" ref="K46:Q46" si="18">SUM(K47:K51)</f>
        <v>1006048443</v>
      </c>
      <c r="L46" s="142">
        <f t="shared" si="6"/>
        <v>0.95075964471218077</v>
      </c>
      <c r="M46" s="13">
        <f t="shared" si="18"/>
        <v>1006048443</v>
      </c>
      <c r="N46" s="66">
        <f t="shared" si="3"/>
        <v>0.95075964471218077</v>
      </c>
      <c r="O46" s="13">
        <f t="shared" si="18"/>
        <v>52103792</v>
      </c>
      <c r="P46" s="66">
        <f t="shared" si="4"/>
        <v>4.924035528781924E-2</v>
      </c>
      <c r="Q46" s="13">
        <f t="shared" si="18"/>
        <v>52103792</v>
      </c>
      <c r="R46" s="66">
        <f t="shared" si="5"/>
        <v>4.924035528781924E-2</v>
      </c>
    </row>
    <row r="47" spans="1:18" x14ac:dyDescent="0.25">
      <c r="A47" s="11" t="s">
        <v>122</v>
      </c>
      <c r="B47" s="11" t="s">
        <v>435</v>
      </c>
      <c r="C47" s="13">
        <f>SUMIF(SIGAF!$B$2:$B$491,$A47,SIGAF!$F$2:$F$491)</f>
        <v>16641000</v>
      </c>
      <c r="D47" s="13">
        <f>SUMIF(SIGAF!$B$2:$B$491,$A47,SIGAF!$G$2:$G$491)</f>
        <v>16641000</v>
      </c>
      <c r="E47" s="13">
        <f>SUMIF(SIGAF!$B$2:$B$491,$A47,SIGAF!$H$2:$H$491)</f>
        <v>0</v>
      </c>
      <c r="F47" s="66">
        <f t="shared" si="1"/>
        <v>0</v>
      </c>
      <c r="G47" s="132">
        <f>SUMIF(SIGAF!$B$2:$B$491,$A47,SIGAF!$I$2:$I$491)</f>
        <v>0</v>
      </c>
      <c r="H47" s="66">
        <f t="shared" si="2"/>
        <v>0</v>
      </c>
      <c r="I47" s="13">
        <f>SUMIF(SIGAF!$B$2:$B$491,$A47,SIGAF!$J$2:$J$491)</f>
        <v>0</v>
      </c>
      <c r="J47" s="66">
        <f t="shared" si="2"/>
        <v>0</v>
      </c>
      <c r="K47" s="13">
        <f>SUMIF(SIGAF!$B$2:$B$491,$A47,SIGAF!$K$2:$K$491)</f>
        <v>14841656</v>
      </c>
      <c r="L47" s="142">
        <f t="shared" si="6"/>
        <v>0.89187284418003721</v>
      </c>
      <c r="M47" s="13">
        <f>SUMIF(SIGAF!$B$2:$B$491,$A47,SIGAF!$L$2:$L$491)</f>
        <v>14841656</v>
      </c>
      <c r="N47" s="66">
        <f t="shared" si="3"/>
        <v>0.89187284418003721</v>
      </c>
      <c r="O47" s="85">
        <f>SUMIF(SIGAF!$B$2:$B$491,$A47,SIGAF!$M$2:$M$491)</f>
        <v>1799344</v>
      </c>
      <c r="P47" s="66">
        <f t="shared" si="4"/>
        <v>0.10812715581996274</v>
      </c>
      <c r="Q47" s="13">
        <f>SUMIF(SIGAF!$B$2:$B$491,$A47,SIGAF!$N$2:$N$491)</f>
        <v>1799344</v>
      </c>
      <c r="R47" s="66">
        <f t="shared" si="5"/>
        <v>0.10812715581996274</v>
      </c>
    </row>
    <row r="48" spans="1:18" x14ac:dyDescent="0.25">
      <c r="A48" s="11" t="s">
        <v>310</v>
      </c>
      <c r="B48" s="11" t="s">
        <v>435</v>
      </c>
      <c r="C48" s="13">
        <f>SUMIF(SIGAF!$B$2:$B$491,$A48,SIGAF!$F$2:$F$491)</f>
        <v>10733000</v>
      </c>
      <c r="D48" s="13">
        <f>SUMIF(SIGAF!$B$2:$B$491,$A48,SIGAF!$G$2:$G$491)</f>
        <v>10733000</v>
      </c>
      <c r="E48" s="13">
        <f>SUMIF(SIGAF!$B$2:$B$491,$A48,SIGAF!$H$2:$H$491)</f>
        <v>0</v>
      </c>
      <c r="F48" s="66">
        <f t="shared" si="1"/>
        <v>0</v>
      </c>
      <c r="G48" s="132">
        <f>SUMIF(SIGAF!$B$2:$B$491,$A48,SIGAF!$I$2:$I$491)</f>
        <v>0</v>
      </c>
      <c r="H48" s="66">
        <f t="shared" si="2"/>
        <v>0</v>
      </c>
      <c r="I48" s="13">
        <f>SUMIF(SIGAF!$B$2:$B$491,$A48,SIGAF!$J$2:$J$491)</f>
        <v>0</v>
      </c>
      <c r="J48" s="66">
        <f t="shared" si="2"/>
        <v>0</v>
      </c>
      <c r="K48" s="13">
        <f>SUMIF(SIGAF!$B$2:$B$491,$A48,SIGAF!$K$2:$K$491)</f>
        <v>10666866</v>
      </c>
      <c r="L48" s="142">
        <f t="shared" si="6"/>
        <v>0.99383825584645491</v>
      </c>
      <c r="M48" s="13">
        <f>SUMIF(SIGAF!$B$2:$B$491,$A48,SIGAF!$L$2:$L$491)</f>
        <v>10666866</v>
      </c>
      <c r="N48" s="66">
        <f t="shared" si="3"/>
        <v>0.99383825584645491</v>
      </c>
      <c r="O48" s="85">
        <f>SUMIF(SIGAF!$B$2:$B$491,$A48,SIGAF!$M$2:$M$491)</f>
        <v>66134</v>
      </c>
      <c r="P48" s="66">
        <f t="shared" si="4"/>
        <v>6.1617441535451413E-3</v>
      </c>
      <c r="Q48" s="13">
        <f>SUMIF(SIGAF!$B$2:$B$491,$A48,SIGAF!$N$2:$N$491)</f>
        <v>66134</v>
      </c>
      <c r="R48" s="66">
        <f t="shared" si="5"/>
        <v>6.1617441535451413E-3</v>
      </c>
    </row>
    <row r="49" spans="1:18" x14ac:dyDescent="0.25">
      <c r="A49" s="11" t="s">
        <v>325</v>
      </c>
      <c r="B49" s="11" t="s">
        <v>435</v>
      </c>
      <c r="C49" s="13">
        <f>SUMIF(SIGAF!$B$2:$B$491,$A49,SIGAF!$F$2:$F$491)</f>
        <v>101011907</v>
      </c>
      <c r="D49" s="13">
        <f>SUMIF(SIGAF!$B$2:$B$491,$A49,SIGAF!$G$2:$G$491)</f>
        <v>101011907</v>
      </c>
      <c r="E49" s="13">
        <f>SUMIF(SIGAF!$B$2:$B$491,$A49,SIGAF!$H$2:$H$491)</f>
        <v>0</v>
      </c>
      <c r="F49" s="66">
        <f t="shared" si="1"/>
        <v>0</v>
      </c>
      <c r="G49" s="132">
        <f>SUMIF(SIGAF!$B$2:$B$491,$A49,SIGAF!$I$2:$I$491)</f>
        <v>0</v>
      </c>
      <c r="H49" s="66">
        <f t="shared" si="2"/>
        <v>0</v>
      </c>
      <c r="I49" s="13">
        <f>SUMIF(SIGAF!$B$2:$B$491,$A49,SIGAF!$J$2:$J$491)</f>
        <v>0</v>
      </c>
      <c r="J49" s="66">
        <f t="shared" si="2"/>
        <v>0</v>
      </c>
      <c r="K49" s="13">
        <f>SUMIF(SIGAF!$B$2:$B$491,$A49,SIGAF!$K$2:$K$491)</f>
        <v>94713323</v>
      </c>
      <c r="L49" s="142">
        <f t="shared" si="6"/>
        <v>0.93764513326136889</v>
      </c>
      <c r="M49" s="13">
        <f>SUMIF(SIGAF!$B$2:$B$491,$A49,SIGAF!$L$2:$L$491)</f>
        <v>94713323</v>
      </c>
      <c r="N49" s="66">
        <f t="shared" si="3"/>
        <v>0.93764513326136889</v>
      </c>
      <c r="O49" s="85">
        <f>SUMIF(SIGAF!$B$2:$B$491,$A49,SIGAF!$M$2:$M$491)</f>
        <v>6298584</v>
      </c>
      <c r="P49" s="66">
        <f t="shared" si="4"/>
        <v>6.2354866738631123E-2</v>
      </c>
      <c r="Q49" s="13">
        <f>SUMIF(SIGAF!$B$2:$B$491,$A49,SIGAF!$N$2:$N$491)</f>
        <v>6298584</v>
      </c>
      <c r="R49" s="66">
        <f t="shared" si="5"/>
        <v>6.2354866738631123E-2</v>
      </c>
    </row>
    <row r="50" spans="1:18" x14ac:dyDescent="0.25">
      <c r="A50" s="11" t="s">
        <v>364</v>
      </c>
      <c r="B50" s="11" t="s">
        <v>435</v>
      </c>
      <c r="C50" s="13">
        <f>SUMIF(SIGAF!$B$2:$B$491,$A50,SIGAF!$F$2:$F$491)</f>
        <v>781381738</v>
      </c>
      <c r="D50" s="13">
        <f>SUMIF(SIGAF!$B$2:$B$491,$A50,SIGAF!$G$2:$G$491)</f>
        <v>781381738</v>
      </c>
      <c r="E50" s="13">
        <f>SUMIF(SIGAF!$B$2:$B$491,$A50,SIGAF!$H$2:$H$491)</f>
        <v>0</v>
      </c>
      <c r="F50" s="66">
        <f t="shared" si="1"/>
        <v>0</v>
      </c>
      <c r="G50" s="132">
        <f>SUMIF(SIGAF!$B$2:$B$491,$A50,SIGAF!$I$2:$I$491)</f>
        <v>0</v>
      </c>
      <c r="H50" s="66">
        <f t="shared" si="2"/>
        <v>0</v>
      </c>
      <c r="I50" s="13">
        <f>SUMIF(SIGAF!$B$2:$B$491,$A50,SIGAF!$J$2:$J$491)</f>
        <v>0</v>
      </c>
      <c r="J50" s="66">
        <f t="shared" si="2"/>
        <v>0</v>
      </c>
      <c r="K50" s="13">
        <f>SUMIF(SIGAF!$B$2:$B$491,$A50,SIGAF!$K$2:$K$491)</f>
        <v>742540274</v>
      </c>
      <c r="L50" s="142">
        <f t="shared" si="6"/>
        <v>0.95029130819026131</v>
      </c>
      <c r="M50" s="13">
        <f>SUMIF(SIGAF!$B$2:$B$491,$A50,SIGAF!$L$2:$L$491)</f>
        <v>742540274</v>
      </c>
      <c r="N50" s="66">
        <f t="shared" si="3"/>
        <v>0.95029130819026131</v>
      </c>
      <c r="O50" s="85">
        <f>SUMIF(SIGAF!$B$2:$B$491,$A50,SIGAF!$M$2:$M$491)</f>
        <v>38841464</v>
      </c>
      <c r="P50" s="66">
        <f t="shared" si="4"/>
        <v>4.9708691809738713E-2</v>
      </c>
      <c r="Q50" s="13">
        <f>SUMIF(SIGAF!$B$2:$B$491,$A50,SIGAF!$N$2:$N$491)</f>
        <v>38841464</v>
      </c>
      <c r="R50" s="66">
        <f t="shared" si="5"/>
        <v>4.9708691809738713E-2</v>
      </c>
    </row>
    <row r="51" spans="1:18" x14ac:dyDescent="0.25">
      <c r="A51" s="11" t="s">
        <v>397</v>
      </c>
      <c r="B51" s="11" t="s">
        <v>435</v>
      </c>
      <c r="C51" s="13">
        <f>SUMIF(SIGAF!$B$2:$B$491,$A51,SIGAF!$F$2:$F$491)</f>
        <v>148384590</v>
      </c>
      <c r="D51" s="13">
        <f>SUMIF(SIGAF!$B$2:$B$491,$A51,SIGAF!$G$2:$G$491)</f>
        <v>148384590</v>
      </c>
      <c r="E51" s="13">
        <f>SUMIF(SIGAF!$B$2:$B$491,$A51,SIGAF!$H$2:$H$491)</f>
        <v>0</v>
      </c>
      <c r="F51" s="66">
        <f t="shared" si="1"/>
        <v>0</v>
      </c>
      <c r="G51" s="132">
        <f>SUMIF(SIGAF!$B$2:$B$491,$A51,SIGAF!$I$2:$I$491)</f>
        <v>0</v>
      </c>
      <c r="H51" s="66">
        <f t="shared" si="2"/>
        <v>0</v>
      </c>
      <c r="I51" s="13">
        <f>SUMIF(SIGAF!$B$2:$B$491,$A51,SIGAF!$J$2:$J$491)</f>
        <v>0</v>
      </c>
      <c r="J51" s="66">
        <f t="shared" si="2"/>
        <v>0</v>
      </c>
      <c r="K51" s="13">
        <f>SUMIF(SIGAF!$B$2:$B$491,$A51,SIGAF!$K$2:$K$491)</f>
        <v>143286324</v>
      </c>
      <c r="L51" s="142">
        <f t="shared" si="6"/>
        <v>0.96564154000088553</v>
      </c>
      <c r="M51" s="13">
        <f>SUMIF(SIGAF!$B$2:$B$491,$A51,SIGAF!$L$2:$L$491)</f>
        <v>143286324</v>
      </c>
      <c r="N51" s="66">
        <f t="shared" si="3"/>
        <v>0.96564154000088553</v>
      </c>
      <c r="O51" s="85">
        <f>SUMIF(SIGAF!$B$2:$B$491,$A51,SIGAF!$M$2:$M$491)</f>
        <v>5098266</v>
      </c>
      <c r="P51" s="66">
        <f t="shared" si="4"/>
        <v>3.4358459999114466E-2</v>
      </c>
      <c r="Q51" s="13">
        <f>SUMIF(SIGAF!$B$2:$B$491,$A51,SIGAF!$N$2:$N$491)</f>
        <v>5098266</v>
      </c>
      <c r="R51" s="66">
        <f t="shared" si="5"/>
        <v>3.4358459999114466E-2</v>
      </c>
    </row>
    <row r="52" spans="1:18" x14ac:dyDescent="0.25">
      <c r="A52" s="11" t="s">
        <v>408</v>
      </c>
      <c r="B52" s="11" t="s">
        <v>436</v>
      </c>
      <c r="C52" s="13">
        <f>SUM(C53:C57)</f>
        <v>2115689562</v>
      </c>
      <c r="D52" s="13">
        <f t="shared" ref="D52:G52" si="19">SUM(D53:D57)</f>
        <v>2115689562</v>
      </c>
      <c r="E52" s="13">
        <f t="shared" si="19"/>
        <v>0</v>
      </c>
      <c r="F52" s="66">
        <f t="shared" si="1"/>
        <v>0</v>
      </c>
      <c r="G52" s="132">
        <f t="shared" si="19"/>
        <v>0</v>
      </c>
      <c r="H52" s="66">
        <f t="shared" si="2"/>
        <v>0</v>
      </c>
      <c r="I52" s="13">
        <f t="shared" ref="I52" si="20">SUM(I53:I57)</f>
        <v>0</v>
      </c>
      <c r="J52" s="66">
        <f t="shared" si="2"/>
        <v>0</v>
      </c>
      <c r="K52" s="13">
        <f t="shared" ref="K52:Q52" si="21">SUM(K53:K57)</f>
        <v>2011510415</v>
      </c>
      <c r="L52" s="142">
        <f t="shared" si="6"/>
        <v>0.95075877441040191</v>
      </c>
      <c r="M52" s="13">
        <f t="shared" si="21"/>
        <v>2011510415</v>
      </c>
      <c r="N52" s="66">
        <f t="shared" si="3"/>
        <v>0.95075877441040191</v>
      </c>
      <c r="O52" s="13">
        <f t="shared" si="21"/>
        <v>104179147</v>
      </c>
      <c r="P52" s="66">
        <f t="shared" si="4"/>
        <v>4.9241225589598099E-2</v>
      </c>
      <c r="Q52" s="13">
        <f t="shared" si="21"/>
        <v>104179147</v>
      </c>
      <c r="R52" s="66">
        <f t="shared" si="5"/>
        <v>4.9241225589598099E-2</v>
      </c>
    </row>
    <row r="53" spans="1:18" x14ac:dyDescent="0.25">
      <c r="A53" s="11" t="s">
        <v>124</v>
      </c>
      <c r="B53" s="11" t="s">
        <v>437</v>
      </c>
      <c r="C53" s="13">
        <f>SUMIF(SIGAF!$B$2:$B$491,$A53,SIGAF!$F$2:$F$491)</f>
        <v>33271000</v>
      </c>
      <c r="D53" s="13">
        <f>SUMIF(SIGAF!$B$2:$B$491,$A53,SIGAF!$G$2:$G$491)</f>
        <v>33271000</v>
      </c>
      <c r="E53" s="13">
        <f>SUMIF(SIGAF!$B$2:$B$491,$A53,SIGAF!$H$2:$H$491)</f>
        <v>0</v>
      </c>
      <c r="F53" s="66">
        <f t="shared" si="1"/>
        <v>0</v>
      </c>
      <c r="G53" s="132">
        <f>SUMIF(SIGAF!$B$2:$B$491,$A53,SIGAF!$I$2:$I$491)</f>
        <v>0</v>
      </c>
      <c r="H53" s="66">
        <f t="shared" si="2"/>
        <v>0</v>
      </c>
      <c r="I53" s="13">
        <f>SUMIF(SIGAF!$B$2:$B$491,$A53,SIGAF!$J$2:$J$491)</f>
        <v>0</v>
      </c>
      <c r="J53" s="66">
        <f t="shared" si="2"/>
        <v>0</v>
      </c>
      <c r="K53" s="13">
        <f>SUMIF(SIGAF!$B$2:$B$491,$A53,SIGAF!$K$2:$K$491)</f>
        <v>29683266</v>
      </c>
      <c r="L53" s="142">
        <f t="shared" si="6"/>
        <v>0.89216633103904297</v>
      </c>
      <c r="M53" s="13">
        <f>SUMIF(SIGAF!$B$2:$B$491,$A53,SIGAF!$L$2:$L$491)</f>
        <v>29683266</v>
      </c>
      <c r="N53" s="66">
        <f t="shared" si="3"/>
        <v>0.89216633103904297</v>
      </c>
      <c r="O53" s="85">
        <f>SUMIF(SIGAF!$B$2:$B$491,$A53,SIGAF!$M$2:$M$491)</f>
        <v>3587734</v>
      </c>
      <c r="P53" s="66">
        <f t="shared" si="4"/>
        <v>0.10783366896095699</v>
      </c>
      <c r="Q53" s="13">
        <f>SUMIF(SIGAF!$B$2:$B$491,$A53,SIGAF!$N$2:$N$491)</f>
        <v>3587734</v>
      </c>
      <c r="R53" s="66">
        <f t="shared" si="5"/>
        <v>0.10783366896095699</v>
      </c>
    </row>
    <row r="54" spans="1:18" x14ac:dyDescent="0.25">
      <c r="A54" s="11" t="s">
        <v>311</v>
      </c>
      <c r="B54" s="11" t="s">
        <v>437</v>
      </c>
      <c r="C54" s="13">
        <f>SUMIF(SIGAF!$B$2:$B$491,$A54,SIGAF!$F$2:$F$491)</f>
        <v>20964000</v>
      </c>
      <c r="D54" s="13">
        <f>SUMIF(SIGAF!$B$2:$B$491,$A54,SIGAF!$G$2:$G$491)</f>
        <v>20964000</v>
      </c>
      <c r="E54" s="13">
        <f>SUMIF(SIGAF!$B$2:$B$491,$A54,SIGAF!$H$2:$H$491)</f>
        <v>0</v>
      </c>
      <c r="F54" s="66">
        <f t="shared" si="1"/>
        <v>0</v>
      </c>
      <c r="G54" s="132">
        <f>SUMIF(SIGAF!$B$2:$B$491,$A54,SIGAF!$I$2:$I$491)</f>
        <v>0</v>
      </c>
      <c r="H54" s="66">
        <f t="shared" si="2"/>
        <v>0</v>
      </c>
      <c r="I54" s="13">
        <f>SUMIF(SIGAF!$B$2:$B$491,$A54,SIGAF!$J$2:$J$491)</f>
        <v>0</v>
      </c>
      <c r="J54" s="66">
        <f t="shared" si="2"/>
        <v>0</v>
      </c>
      <c r="K54" s="13">
        <f>SUMIF(SIGAF!$B$2:$B$491,$A54,SIGAF!$K$2:$K$491)</f>
        <v>20745775</v>
      </c>
      <c r="L54" s="142">
        <f t="shared" si="6"/>
        <v>0.98959048845640141</v>
      </c>
      <c r="M54" s="13">
        <f>SUMIF(SIGAF!$B$2:$B$491,$A54,SIGAF!$L$2:$L$491)</f>
        <v>20745775</v>
      </c>
      <c r="N54" s="66">
        <f t="shared" si="3"/>
        <v>0.98959048845640141</v>
      </c>
      <c r="O54" s="85">
        <f>SUMIF(SIGAF!$B$2:$B$491,$A54,SIGAF!$M$2:$M$491)</f>
        <v>218225</v>
      </c>
      <c r="P54" s="66">
        <f t="shared" si="4"/>
        <v>1.040951154359855E-2</v>
      </c>
      <c r="Q54" s="13">
        <f>SUMIF(SIGAF!$B$2:$B$491,$A54,SIGAF!$N$2:$N$491)</f>
        <v>218225</v>
      </c>
      <c r="R54" s="66">
        <f t="shared" si="5"/>
        <v>1.040951154359855E-2</v>
      </c>
    </row>
    <row r="55" spans="1:18" x14ac:dyDescent="0.25">
      <c r="A55" s="11" t="s">
        <v>326</v>
      </c>
      <c r="B55" s="11" t="s">
        <v>437</v>
      </c>
      <c r="C55" s="13">
        <f>SUMIF(SIGAF!$B$2:$B$491,$A55,SIGAF!$F$2:$F$491)</f>
        <v>202022915</v>
      </c>
      <c r="D55" s="13">
        <f>SUMIF(SIGAF!$B$2:$B$491,$A55,SIGAF!$G$2:$G$491)</f>
        <v>202022915</v>
      </c>
      <c r="E55" s="13">
        <f>SUMIF(SIGAF!$B$2:$B$491,$A55,SIGAF!$H$2:$H$491)</f>
        <v>0</v>
      </c>
      <c r="F55" s="66">
        <f t="shared" si="1"/>
        <v>0</v>
      </c>
      <c r="G55" s="132">
        <f>SUMIF(SIGAF!$B$2:$B$491,$A55,SIGAF!$I$2:$I$491)</f>
        <v>0</v>
      </c>
      <c r="H55" s="66">
        <f t="shared" si="2"/>
        <v>0</v>
      </c>
      <c r="I55" s="13">
        <f>SUMIF(SIGAF!$B$2:$B$491,$A55,SIGAF!$J$2:$J$491)</f>
        <v>0</v>
      </c>
      <c r="J55" s="66">
        <f t="shared" si="2"/>
        <v>0</v>
      </c>
      <c r="K55" s="13">
        <f>SUMIF(SIGAF!$B$2:$B$491,$A55,SIGAF!$K$2:$K$491)</f>
        <v>189426646</v>
      </c>
      <c r="L55" s="142">
        <f t="shared" si="6"/>
        <v>0.93764930577306049</v>
      </c>
      <c r="M55" s="13">
        <f>SUMIF(SIGAF!$B$2:$B$491,$A55,SIGAF!$L$2:$L$491)</f>
        <v>189426646</v>
      </c>
      <c r="N55" s="66">
        <f t="shared" si="3"/>
        <v>0.93764930577306049</v>
      </c>
      <c r="O55" s="85">
        <f>SUMIF(SIGAF!$B$2:$B$491,$A55,SIGAF!$M$2:$M$491)</f>
        <v>12596269</v>
      </c>
      <c r="P55" s="66">
        <f t="shared" si="4"/>
        <v>6.2350694226939556E-2</v>
      </c>
      <c r="Q55" s="13">
        <f>SUMIF(SIGAF!$B$2:$B$491,$A55,SIGAF!$N$2:$N$491)</f>
        <v>12596269</v>
      </c>
      <c r="R55" s="66">
        <f t="shared" si="5"/>
        <v>6.2350694226939556E-2</v>
      </c>
    </row>
    <row r="56" spans="1:18" x14ac:dyDescent="0.25">
      <c r="A56" s="11" t="s">
        <v>365</v>
      </c>
      <c r="B56" s="11" t="s">
        <v>437</v>
      </c>
      <c r="C56" s="13">
        <f>SUMIF(SIGAF!$B$2:$B$491,$A56,SIGAF!$F$2:$F$491)</f>
        <v>1562663477</v>
      </c>
      <c r="D56" s="13">
        <f>SUMIF(SIGAF!$B$2:$B$491,$A56,SIGAF!$G$2:$G$491)</f>
        <v>1562663477</v>
      </c>
      <c r="E56" s="13">
        <f>SUMIF(SIGAF!$B$2:$B$491,$A56,SIGAF!$H$2:$H$491)</f>
        <v>0</v>
      </c>
      <c r="F56" s="66">
        <f t="shared" si="1"/>
        <v>0</v>
      </c>
      <c r="G56" s="132">
        <f>SUMIF(SIGAF!$B$2:$B$491,$A56,SIGAF!$I$2:$I$491)</f>
        <v>0</v>
      </c>
      <c r="H56" s="66">
        <f t="shared" si="2"/>
        <v>0</v>
      </c>
      <c r="I56" s="13">
        <f>SUMIF(SIGAF!$B$2:$B$491,$A56,SIGAF!$J$2:$J$491)</f>
        <v>0</v>
      </c>
      <c r="J56" s="66">
        <f t="shared" si="2"/>
        <v>0</v>
      </c>
      <c r="K56" s="13">
        <f>SUMIF(SIGAF!$B$2:$B$491,$A56,SIGAF!$K$2:$K$491)</f>
        <v>1485082112</v>
      </c>
      <c r="L56" s="142">
        <f t="shared" si="6"/>
        <v>0.95035312071864597</v>
      </c>
      <c r="M56" s="13">
        <f>SUMIF(SIGAF!$B$2:$B$491,$A56,SIGAF!$L$2:$L$491)</f>
        <v>1485082112</v>
      </c>
      <c r="N56" s="66">
        <f t="shared" si="3"/>
        <v>0.95035312071864597</v>
      </c>
      <c r="O56" s="85">
        <f>SUMIF(SIGAF!$B$2:$B$491,$A56,SIGAF!$M$2:$M$491)</f>
        <v>77581365</v>
      </c>
      <c r="P56" s="66">
        <f t="shared" si="4"/>
        <v>4.9646879281354063E-2</v>
      </c>
      <c r="Q56" s="13">
        <f>SUMIF(SIGAF!$B$2:$B$491,$A56,SIGAF!$N$2:$N$491)</f>
        <v>77581365</v>
      </c>
      <c r="R56" s="66">
        <f t="shared" si="5"/>
        <v>4.9646879281354063E-2</v>
      </c>
    </row>
    <row r="57" spans="1:18" x14ac:dyDescent="0.25">
      <c r="A57" s="11" t="s">
        <v>398</v>
      </c>
      <c r="B57" s="11" t="s">
        <v>437</v>
      </c>
      <c r="C57" s="13">
        <f>SUMIF(SIGAF!$B$2:$B$491,$A57,SIGAF!$F$2:$F$491)</f>
        <v>296768170</v>
      </c>
      <c r="D57" s="13">
        <f>SUMIF(SIGAF!$B$2:$B$491,$A57,SIGAF!$G$2:$G$491)</f>
        <v>296768170</v>
      </c>
      <c r="E57" s="13">
        <f>SUMIF(SIGAF!$B$2:$B$491,$A57,SIGAF!$H$2:$H$491)</f>
        <v>0</v>
      </c>
      <c r="F57" s="66">
        <f t="shared" si="1"/>
        <v>0</v>
      </c>
      <c r="G57" s="132">
        <f>SUMIF(SIGAF!$B$2:$B$491,$A57,SIGAF!$I$2:$I$491)</f>
        <v>0</v>
      </c>
      <c r="H57" s="66">
        <f t="shared" si="2"/>
        <v>0</v>
      </c>
      <c r="I57" s="13">
        <f>SUMIF(SIGAF!$B$2:$B$491,$A57,SIGAF!$J$2:$J$491)</f>
        <v>0</v>
      </c>
      <c r="J57" s="66">
        <f t="shared" si="2"/>
        <v>0</v>
      </c>
      <c r="K57" s="13">
        <f>SUMIF(SIGAF!$B$2:$B$491,$A57,SIGAF!$K$2:$K$491)</f>
        <v>286572616</v>
      </c>
      <c r="L57" s="142">
        <f t="shared" si="6"/>
        <v>0.96564471856938028</v>
      </c>
      <c r="M57" s="13">
        <f>SUMIF(SIGAF!$B$2:$B$491,$A57,SIGAF!$L$2:$L$491)</f>
        <v>286572616</v>
      </c>
      <c r="N57" s="66">
        <f t="shared" si="3"/>
        <v>0.96564471856938028</v>
      </c>
      <c r="O57" s="85">
        <f>SUMIF(SIGAF!$B$2:$B$491,$A57,SIGAF!$M$2:$M$491)</f>
        <v>10195554</v>
      </c>
      <c r="P57" s="66">
        <f t="shared" si="4"/>
        <v>3.4355281430619736E-2</v>
      </c>
      <c r="Q57" s="13">
        <f>SUMIF(SIGAF!$B$2:$B$491,$A57,SIGAF!$N$2:$N$491)</f>
        <v>10195554</v>
      </c>
      <c r="R57" s="66">
        <f t="shared" si="5"/>
        <v>3.4355281430619736E-2</v>
      </c>
    </row>
    <row r="58" spans="1:18" x14ac:dyDescent="0.25">
      <c r="A58" s="11" t="s">
        <v>409</v>
      </c>
      <c r="B58" s="11" t="s">
        <v>438</v>
      </c>
      <c r="C58" s="13">
        <f>+C59</f>
        <v>91000000</v>
      </c>
      <c r="D58" s="13">
        <f>+D59</f>
        <v>91000000</v>
      </c>
      <c r="E58" s="13">
        <f>+E59</f>
        <v>0</v>
      </c>
      <c r="F58" s="66">
        <f t="shared" si="1"/>
        <v>0</v>
      </c>
      <c r="G58" s="132">
        <f>+G59</f>
        <v>0</v>
      </c>
      <c r="H58" s="66">
        <f t="shared" si="2"/>
        <v>0</v>
      </c>
      <c r="I58" s="13">
        <f>+I59</f>
        <v>0</v>
      </c>
      <c r="J58" s="66">
        <f t="shared" si="2"/>
        <v>0</v>
      </c>
      <c r="K58" s="13">
        <f>+K59</f>
        <v>90210718.840000004</v>
      </c>
      <c r="L58" s="142">
        <f t="shared" si="6"/>
        <v>0.99132658065934065</v>
      </c>
      <c r="M58" s="13">
        <f>+M59</f>
        <v>90210718.840000004</v>
      </c>
      <c r="N58" s="66">
        <f t="shared" si="3"/>
        <v>0.99132658065934065</v>
      </c>
      <c r="O58" s="13">
        <f>+O59</f>
        <v>789281.16</v>
      </c>
      <c r="P58" s="66">
        <f t="shared" si="4"/>
        <v>8.6734193406593409E-3</v>
      </c>
      <c r="Q58" s="13">
        <f>+Q59</f>
        <v>789281.16</v>
      </c>
      <c r="R58" s="66">
        <f t="shared" si="5"/>
        <v>8.6734193406593409E-3</v>
      </c>
    </row>
    <row r="59" spans="1:18" x14ac:dyDescent="0.25">
      <c r="A59" s="11" t="s">
        <v>399</v>
      </c>
      <c r="B59" s="11" t="s">
        <v>439</v>
      </c>
      <c r="C59" s="13">
        <f>SUMIF(SIGAF!$B$2:$B$491,$A59,SIGAF!$F$2:$F$491)</f>
        <v>91000000</v>
      </c>
      <c r="D59" s="13">
        <f>SUMIF(SIGAF!$B$2:$B$491,$A59,SIGAF!$G$2:$G$491)</f>
        <v>91000000</v>
      </c>
      <c r="E59" s="13">
        <f>SUMIF(SIGAF!$B$2:$B$491,$A59,SIGAF!$H$2:$H$491)</f>
        <v>0</v>
      </c>
      <c r="F59" s="66">
        <f t="shared" si="1"/>
        <v>0</v>
      </c>
      <c r="G59" s="132">
        <f>SUMIF(SIGAF!$B$2:$B$491,$A59,SIGAF!$I$2:$I$491)</f>
        <v>0</v>
      </c>
      <c r="H59" s="66">
        <f t="shared" si="2"/>
        <v>0</v>
      </c>
      <c r="I59" s="13">
        <f>SUMIF(SIGAF!$B$2:$B$491,$A59,SIGAF!$J$2:$J$491)</f>
        <v>0</v>
      </c>
      <c r="J59" s="66">
        <f t="shared" si="2"/>
        <v>0</v>
      </c>
      <c r="K59" s="13">
        <f>SUMIF(SIGAF!$B$2:$B$491,$A59,SIGAF!$K$2:$K$491)</f>
        <v>90210718.840000004</v>
      </c>
      <c r="L59" s="142">
        <f t="shared" si="6"/>
        <v>0.99132658065934065</v>
      </c>
      <c r="M59" s="13">
        <f>SUMIF(SIGAF!$B$2:$B$491,$A59,SIGAF!$L$2:$L$491)</f>
        <v>90210718.840000004</v>
      </c>
      <c r="N59" s="66">
        <f t="shared" si="3"/>
        <v>0.99132658065934065</v>
      </c>
      <c r="O59" s="85">
        <f>SUMIF(SIGAF!$B$2:$B$491,$A59,SIGAF!$M$2:$M$491)</f>
        <v>789281.16</v>
      </c>
      <c r="P59" s="66">
        <f t="shared" si="4"/>
        <v>8.6734193406593409E-3</v>
      </c>
      <c r="Q59" s="13">
        <f>SUMIF(SIGAF!$B$2:$B$491,$A59,SIGAF!$N$2:$N$491)</f>
        <v>789281.16</v>
      </c>
      <c r="R59" s="66">
        <f t="shared" si="5"/>
        <v>8.6734193406593409E-3</v>
      </c>
    </row>
    <row r="60" spans="1:18" x14ac:dyDescent="0.25">
      <c r="A60" s="11" t="s">
        <v>366</v>
      </c>
      <c r="B60" s="11" t="s">
        <v>440</v>
      </c>
      <c r="C60" s="13">
        <f>SUMIF(SIGAF!$B$2:$B$491,$A60,SIGAF!$F$2:$F$491)</f>
        <v>0</v>
      </c>
      <c r="D60" s="13">
        <f>SUMIF(SIGAF!$B$2:$B$491,$A60,SIGAF!$G$2:$G$491)</f>
        <v>0</v>
      </c>
      <c r="E60" s="13">
        <f>SUMIF(SIGAF!$B$2:$B$491,$A60,SIGAF!$H$2:$H$491)</f>
        <v>0</v>
      </c>
      <c r="F60" s="66">
        <f t="shared" si="1"/>
        <v>0</v>
      </c>
      <c r="G60" s="132">
        <f>SUMIF(SIGAF!$B$2:$B$491,$A60,SIGAF!$I$2:$I$491)</f>
        <v>0</v>
      </c>
      <c r="H60" s="66">
        <f t="shared" si="2"/>
        <v>0</v>
      </c>
      <c r="I60" s="13">
        <f>SUMIF(SIGAF!$B$2:$B$491,$A60,SIGAF!$J$2:$J$491)</f>
        <v>0</v>
      </c>
      <c r="J60" s="66">
        <f t="shared" si="2"/>
        <v>0</v>
      </c>
      <c r="K60" s="13">
        <f>SUMIF(SIGAF!$B$2:$B$491,$A60,SIGAF!$K$2:$K$491)</f>
        <v>0</v>
      </c>
      <c r="L60" s="142">
        <f t="shared" si="6"/>
        <v>0</v>
      </c>
      <c r="M60" s="13">
        <f>SUMIF(SIGAF!$B$2:$B$491,$A60,SIGAF!$L$2:$L$491)</f>
        <v>0</v>
      </c>
      <c r="N60" s="66">
        <f t="shared" si="3"/>
        <v>0</v>
      </c>
      <c r="O60" s="85">
        <f>SUMIF(SIGAF!$B$2:$B$491,$A60,SIGAF!$M$2:$M$491)</f>
        <v>0</v>
      </c>
      <c r="P60" s="66">
        <f t="shared" si="4"/>
        <v>0</v>
      </c>
      <c r="Q60" s="13">
        <f>SUMIF(SIGAF!$B$2:$B$491,$A60,SIGAF!$N$2:$N$491)</f>
        <v>0</v>
      </c>
      <c r="R60" s="66">
        <f t="shared" si="5"/>
        <v>0</v>
      </c>
    </row>
    <row r="61" spans="1:18" x14ac:dyDescent="0.25">
      <c r="A61" s="11" t="s">
        <v>368</v>
      </c>
      <c r="B61" s="11" t="s">
        <v>441</v>
      </c>
      <c r="C61" s="13">
        <f>SUMIF(SIGAF!$B$2:$B$491,$A61,SIGAF!$F$2:$F$491)</f>
        <v>0</v>
      </c>
      <c r="D61" s="13">
        <f>SUMIF(SIGAF!$B$2:$B$491,$A61,SIGAF!$G$2:$G$491)</f>
        <v>0</v>
      </c>
      <c r="E61" s="13">
        <f>SUMIF(SIGAF!$B$2:$B$491,$A61,SIGAF!$H$2:$H$491)</f>
        <v>0</v>
      </c>
      <c r="F61" s="66">
        <f t="shared" si="1"/>
        <v>0</v>
      </c>
      <c r="G61" s="132">
        <f>SUMIF(SIGAF!$B$2:$B$491,$A61,SIGAF!$I$2:$I$491)</f>
        <v>0</v>
      </c>
      <c r="H61" s="66">
        <f t="shared" si="2"/>
        <v>0</v>
      </c>
      <c r="I61" s="13">
        <f>SUMIF(SIGAF!$B$2:$B$491,$A61,SIGAF!$J$2:$J$491)</f>
        <v>0</v>
      </c>
      <c r="J61" s="66">
        <f t="shared" si="2"/>
        <v>0</v>
      </c>
      <c r="K61" s="13">
        <f>SUMIF(SIGAF!$B$2:$B$491,$A61,SIGAF!$K$2:$K$491)</f>
        <v>0</v>
      </c>
      <c r="L61" s="142">
        <f t="shared" si="6"/>
        <v>0</v>
      </c>
      <c r="M61" s="13">
        <f>SUMIF(SIGAF!$B$2:$B$491,$A61,SIGAF!$L$2:$L$491)</f>
        <v>0</v>
      </c>
      <c r="N61" s="66">
        <f t="shared" si="3"/>
        <v>0</v>
      </c>
      <c r="O61" s="85">
        <f>SUMIF(SIGAF!$B$2:$B$491,$A61,SIGAF!$M$2:$M$491)</f>
        <v>0</v>
      </c>
      <c r="P61" s="66">
        <f t="shared" si="4"/>
        <v>0</v>
      </c>
      <c r="Q61" s="13">
        <f>SUMIF(SIGAF!$B$2:$B$491,$A61,SIGAF!$N$2:$N$491)</f>
        <v>0</v>
      </c>
      <c r="R61" s="66">
        <f t="shared" si="5"/>
        <v>0</v>
      </c>
    </row>
    <row r="62" spans="1:18" s="23" customFormat="1" x14ac:dyDescent="0.25">
      <c r="A62" s="21" t="s">
        <v>126</v>
      </c>
      <c r="B62" s="21" t="s">
        <v>127</v>
      </c>
      <c r="C62" s="35">
        <f>SUMIF(SIGAF!$B$2:$B$491,$A62,SIGAF!$F$2:$F$491)</f>
        <v>16216640106.32</v>
      </c>
      <c r="D62" s="35">
        <f>SUMIF(SIGAF!$B$2:$B$491,$A62,SIGAF!$G$2:$G$491)</f>
        <v>16216640106.32</v>
      </c>
      <c r="E62" s="35">
        <f>SUMIF(SIGAF!$B$2:$B$491,$A62,SIGAF!$H$2:$H$491)</f>
        <v>0</v>
      </c>
      <c r="F62" s="65">
        <f t="shared" si="1"/>
        <v>0</v>
      </c>
      <c r="G62" s="133">
        <f>SUMIF(SIGAF!$B$2:$B$491,$A62,SIGAF!$I$2:$I$491)</f>
        <v>1869966369.95</v>
      </c>
      <c r="H62" s="65">
        <f t="shared" si="2"/>
        <v>0.11531157858163424</v>
      </c>
      <c r="I62" s="35">
        <f>SUMIF(SIGAF!$B$2:$B$491,$A62,SIGAF!$J$2:$J$491)</f>
        <v>0</v>
      </c>
      <c r="J62" s="65">
        <f t="shared" si="2"/>
        <v>0</v>
      </c>
      <c r="K62" s="35">
        <f>SUMIF(SIGAF!$B$2:$B$491,$A62,SIGAF!$K$2:$K$491)</f>
        <v>13075561583.459999</v>
      </c>
      <c r="L62" s="141">
        <f t="shared" si="6"/>
        <v>0.80630522091713375</v>
      </c>
      <c r="M62" s="35">
        <f>SUMIF(SIGAF!$B$2:$B$491,$A62,SIGAF!$L$2:$L$491)</f>
        <v>10921122490.289999</v>
      </c>
      <c r="N62" s="65">
        <f t="shared" si="3"/>
        <v>0.67345161628355954</v>
      </c>
      <c r="O62" s="86">
        <f>SUMIF(SIGAF!$B$2:$B$491,$A62,SIGAF!$M$2:$M$491)</f>
        <v>1271112152.9100001</v>
      </c>
      <c r="P62" s="65">
        <f t="shared" si="4"/>
        <v>7.8383200501231959E-2</v>
      </c>
      <c r="Q62" s="35">
        <f>SUMIF(SIGAF!$B$2:$B$491,$A62,SIGAF!$N$2:$N$491)</f>
        <v>1271112152.9100001</v>
      </c>
      <c r="R62" s="65">
        <f t="shared" si="5"/>
        <v>7.8383200501231959E-2</v>
      </c>
    </row>
    <row r="63" spans="1:18" x14ac:dyDescent="0.25">
      <c r="A63" s="11" t="s">
        <v>128</v>
      </c>
      <c r="B63" s="11" t="s">
        <v>129</v>
      </c>
      <c r="C63" s="13">
        <f>SUMIF(SIGAF!$B$2:$B$491,$A63,SIGAF!$F$2:$F$491)</f>
        <v>6493906031</v>
      </c>
      <c r="D63" s="13">
        <f>SUMIF(SIGAF!$B$2:$B$491,$A63,SIGAF!$G$2:$G$491)</f>
        <v>6493906031</v>
      </c>
      <c r="E63" s="13">
        <f>SUMIF(SIGAF!$B$2:$B$491,$A63,SIGAF!$H$2:$H$491)</f>
        <v>0</v>
      </c>
      <c r="F63" s="66">
        <f t="shared" si="1"/>
        <v>0</v>
      </c>
      <c r="G63" s="132">
        <f>SUMIF(SIGAF!$B$2:$B$491,$A63,SIGAF!$I$2:$I$491)</f>
        <v>437416665.19999999</v>
      </c>
      <c r="H63" s="66">
        <f t="shared" si="2"/>
        <v>6.7358021984288238E-2</v>
      </c>
      <c r="I63" s="13">
        <f>SUMIF(SIGAF!$B$2:$B$491,$A63,SIGAF!$J$2:$J$491)</f>
        <v>0</v>
      </c>
      <c r="J63" s="66">
        <f t="shared" si="2"/>
        <v>0</v>
      </c>
      <c r="K63" s="13">
        <f>SUMIF(SIGAF!$B$2:$B$491,$A63,SIGAF!$K$2:$K$491)</f>
        <v>5563037288.7600002</v>
      </c>
      <c r="L63" s="142">
        <f t="shared" si="6"/>
        <v>0.85665503353508565</v>
      </c>
      <c r="M63" s="13">
        <f>SUMIF(SIGAF!$B$2:$B$491,$A63,SIGAF!$L$2:$L$491)</f>
        <v>4225062815.0100002</v>
      </c>
      <c r="N63" s="66">
        <f t="shared" si="3"/>
        <v>0.65061964168264697</v>
      </c>
      <c r="O63" s="85">
        <f>SUMIF(SIGAF!$B$2:$B$491,$A63,SIGAF!$M$2:$M$491)</f>
        <v>493452077.04000002</v>
      </c>
      <c r="P63" s="66">
        <f t="shared" si="4"/>
        <v>7.5986944480626109E-2</v>
      </c>
      <c r="Q63" s="13">
        <f>SUMIF(SIGAF!$B$2:$B$491,$A63,SIGAF!$N$2:$N$491)</f>
        <v>493452077.04000002</v>
      </c>
      <c r="R63" s="66">
        <f t="shared" si="5"/>
        <v>7.5986944480626109E-2</v>
      </c>
    </row>
    <row r="64" spans="1:18" x14ac:dyDescent="0.25">
      <c r="A64" s="11" t="s">
        <v>312</v>
      </c>
      <c r="B64" s="11" t="s">
        <v>442</v>
      </c>
      <c r="C64" s="13">
        <f>SUMIF(SIGAF!$B$2:$B$491,$A64,SIGAF!$F$2:$F$491)</f>
        <v>683348040</v>
      </c>
      <c r="D64" s="13">
        <f>SUMIF(SIGAF!$B$2:$B$491,$A64,SIGAF!$G$2:$G$491)</f>
        <v>683348040</v>
      </c>
      <c r="E64" s="13">
        <f>SUMIF(SIGAF!$B$2:$B$491,$A64,SIGAF!$H$2:$H$491)</f>
        <v>0</v>
      </c>
      <c r="F64" s="66">
        <f t="shared" si="1"/>
        <v>0</v>
      </c>
      <c r="G64" s="132">
        <f>SUMIF(SIGAF!$B$2:$B$491,$A64,SIGAF!$I$2:$I$491)</f>
        <v>6673419.6900000004</v>
      </c>
      <c r="H64" s="66">
        <f t="shared" si="2"/>
        <v>9.7657698557238864E-3</v>
      </c>
      <c r="I64" s="13">
        <f>SUMIF(SIGAF!$B$2:$B$491,$A64,SIGAF!$J$2:$J$491)</f>
        <v>0</v>
      </c>
      <c r="J64" s="66">
        <f t="shared" si="2"/>
        <v>0</v>
      </c>
      <c r="K64" s="13">
        <f>SUMIF(SIGAF!$B$2:$B$491,$A64,SIGAF!$K$2:$K$491)</f>
        <v>627442447.50999999</v>
      </c>
      <c r="L64" s="142">
        <f t="shared" si="6"/>
        <v>0.91818869855835106</v>
      </c>
      <c r="M64" s="13">
        <f>SUMIF(SIGAF!$B$2:$B$491,$A64,SIGAF!$L$2:$L$491)</f>
        <v>578261209.03999996</v>
      </c>
      <c r="N64" s="66">
        <f t="shared" si="3"/>
        <v>0.84621770341215874</v>
      </c>
      <c r="O64" s="85">
        <f>SUMIF(SIGAF!$B$2:$B$491,$A64,SIGAF!$M$2:$M$491)</f>
        <v>49232172.799999997</v>
      </c>
      <c r="P64" s="66">
        <f t="shared" si="4"/>
        <v>7.2045531585925082E-2</v>
      </c>
      <c r="Q64" s="13">
        <f>SUMIF(SIGAF!$B$2:$B$491,$A64,SIGAF!$N$2:$N$491)</f>
        <v>49232172.799999997</v>
      </c>
      <c r="R64" s="66">
        <f t="shared" si="5"/>
        <v>7.2045531585925082E-2</v>
      </c>
    </row>
    <row r="65" spans="1:18" x14ac:dyDescent="0.25">
      <c r="A65" s="11" t="s">
        <v>327</v>
      </c>
      <c r="B65" s="11" t="s">
        <v>443</v>
      </c>
      <c r="C65" s="13">
        <f>SUMIF(SIGAF!$B$2:$B$491,$A65,SIGAF!$F$2:$F$491)</f>
        <v>6134000</v>
      </c>
      <c r="D65" s="13">
        <f>SUMIF(SIGAF!$B$2:$B$491,$A65,SIGAF!$G$2:$G$491)</f>
        <v>6134000</v>
      </c>
      <c r="E65" s="13">
        <f>SUMIF(SIGAF!$B$2:$B$491,$A65,SIGAF!$H$2:$H$491)</f>
        <v>0</v>
      </c>
      <c r="F65" s="66">
        <f t="shared" si="1"/>
        <v>0</v>
      </c>
      <c r="G65" s="132">
        <f>SUMIF(SIGAF!$B$2:$B$491,$A65,SIGAF!$I$2:$I$491)</f>
        <v>40226.65</v>
      </c>
      <c r="H65" s="66">
        <f t="shared" si="2"/>
        <v>6.5579801108575156E-3</v>
      </c>
      <c r="I65" s="13">
        <f>SUMIF(SIGAF!$B$2:$B$491,$A65,SIGAF!$J$2:$J$491)</f>
        <v>0</v>
      </c>
      <c r="J65" s="66">
        <f t="shared" si="2"/>
        <v>0</v>
      </c>
      <c r="K65" s="13">
        <f>SUMIF(SIGAF!$B$2:$B$491,$A65,SIGAF!$K$2:$K$491)</f>
        <v>2809201.69</v>
      </c>
      <c r="L65" s="142">
        <f t="shared" si="6"/>
        <v>0.45797223508314311</v>
      </c>
      <c r="M65" s="13">
        <f>SUMIF(SIGAF!$B$2:$B$491,$A65,SIGAF!$L$2:$L$491)</f>
        <v>1887552.01</v>
      </c>
      <c r="N65" s="66">
        <f t="shared" si="3"/>
        <v>0.30771959732637755</v>
      </c>
      <c r="O65" s="85">
        <f>SUMIF(SIGAF!$B$2:$B$491,$A65,SIGAF!$M$2:$M$491)</f>
        <v>3284571.66</v>
      </c>
      <c r="P65" s="66">
        <f t="shared" si="4"/>
        <v>0.53546978480599938</v>
      </c>
      <c r="Q65" s="13">
        <f>SUMIF(SIGAF!$B$2:$B$491,$A65,SIGAF!$N$2:$N$491)</f>
        <v>3284571.66</v>
      </c>
      <c r="R65" s="66">
        <f t="shared" si="5"/>
        <v>0.53546978480599938</v>
      </c>
    </row>
    <row r="66" spans="1:18" x14ac:dyDescent="0.25">
      <c r="A66" s="11" t="s">
        <v>130</v>
      </c>
      <c r="B66" s="11" t="s">
        <v>444</v>
      </c>
      <c r="C66" s="13">
        <f>SUMIF(SIGAF!$B$2:$B$491,$A66,SIGAF!$F$2:$F$491)</f>
        <v>1168734000</v>
      </c>
      <c r="D66" s="13">
        <f>SUMIF(SIGAF!$B$2:$B$491,$A66,SIGAF!$G$2:$G$491)</f>
        <v>1168734000</v>
      </c>
      <c r="E66" s="13">
        <f>SUMIF(SIGAF!$B$2:$B$491,$A66,SIGAF!$H$2:$H$491)</f>
        <v>0</v>
      </c>
      <c r="F66" s="66">
        <f t="shared" si="1"/>
        <v>0</v>
      </c>
      <c r="G66" s="132">
        <f>SUMIF(SIGAF!$B$2:$B$491,$A66,SIGAF!$I$2:$I$491)</f>
        <v>104667809.88</v>
      </c>
      <c r="H66" s="66">
        <f t="shared" si="2"/>
        <v>8.9556571366966306E-2</v>
      </c>
      <c r="I66" s="13">
        <f>SUMIF(SIGAF!$B$2:$B$491,$A66,SIGAF!$J$2:$J$491)</f>
        <v>0</v>
      </c>
      <c r="J66" s="66">
        <f t="shared" si="2"/>
        <v>0</v>
      </c>
      <c r="K66" s="13">
        <f>SUMIF(SIGAF!$B$2:$B$491,$A66,SIGAF!$K$2:$K$491)</f>
        <v>949799176.80000007</v>
      </c>
      <c r="L66" s="142">
        <f t="shared" si="6"/>
        <v>0.81267352263218151</v>
      </c>
      <c r="M66" s="13">
        <f>SUMIF(SIGAF!$B$2:$B$491,$A66,SIGAF!$L$2:$L$491)</f>
        <v>772886894.98000002</v>
      </c>
      <c r="N66" s="66">
        <f t="shared" si="3"/>
        <v>0.66130265311011749</v>
      </c>
      <c r="O66" s="85">
        <f>SUMIF(SIGAF!$B$2:$B$491,$A66,SIGAF!$M$2:$M$491)</f>
        <v>114267013.32000001</v>
      </c>
      <c r="P66" s="66">
        <f t="shared" si="4"/>
        <v>9.7769906000852211E-2</v>
      </c>
      <c r="Q66" s="13">
        <f>SUMIF(SIGAF!$B$2:$B$491,$A66,SIGAF!$N$2:$N$491)</f>
        <v>114267013.32000001</v>
      </c>
      <c r="R66" s="66">
        <f t="shared" si="5"/>
        <v>9.7769906000852211E-2</v>
      </c>
    </row>
    <row r="67" spans="1:18" x14ac:dyDescent="0.25">
      <c r="A67" s="11" t="s">
        <v>329</v>
      </c>
      <c r="B67" s="11" t="s">
        <v>445</v>
      </c>
      <c r="C67" s="13">
        <f>SUMIF(SIGAF!$B$2:$B$491,$A67,SIGAF!$F$2:$F$491)</f>
        <v>21133488</v>
      </c>
      <c r="D67" s="13">
        <f>SUMIF(SIGAF!$B$2:$B$491,$A67,SIGAF!$G$2:$G$491)</f>
        <v>21133488</v>
      </c>
      <c r="E67" s="13">
        <f>SUMIF(SIGAF!$B$2:$B$491,$A67,SIGAF!$H$2:$H$491)</f>
        <v>0</v>
      </c>
      <c r="F67" s="66">
        <f t="shared" si="1"/>
        <v>0</v>
      </c>
      <c r="G67" s="132">
        <f>SUMIF(SIGAF!$B$2:$B$491,$A67,SIGAF!$I$2:$I$491)</f>
        <v>3828535.6</v>
      </c>
      <c r="H67" s="66">
        <f t="shared" si="2"/>
        <v>0.18115966469898392</v>
      </c>
      <c r="I67" s="13">
        <f>SUMIF(SIGAF!$B$2:$B$491,$A67,SIGAF!$J$2:$J$491)</f>
        <v>0</v>
      </c>
      <c r="J67" s="66">
        <f t="shared" si="2"/>
        <v>0</v>
      </c>
      <c r="K67" s="13">
        <f>SUMIF(SIGAF!$B$2:$B$491,$A67,SIGAF!$K$2:$K$491)</f>
        <v>16831579.079999998</v>
      </c>
      <c r="L67" s="142">
        <f t="shared" si="6"/>
        <v>0.79644113077784406</v>
      </c>
      <c r="M67" s="13">
        <f>SUMIF(SIGAF!$B$2:$B$491,$A67,SIGAF!$L$2:$L$491)</f>
        <v>13492429.99</v>
      </c>
      <c r="N67" s="66">
        <f t="shared" si="3"/>
        <v>0.63843838698089028</v>
      </c>
      <c r="O67" s="85">
        <f>SUMIF(SIGAF!$B$2:$B$491,$A67,SIGAF!$M$2:$M$491)</f>
        <v>473373.32</v>
      </c>
      <c r="P67" s="66">
        <f t="shared" si="4"/>
        <v>2.2399204523171946E-2</v>
      </c>
      <c r="Q67" s="13">
        <f>SUMIF(SIGAF!$B$2:$B$491,$A67,SIGAF!$N$2:$N$491)</f>
        <v>473373.32</v>
      </c>
      <c r="R67" s="66">
        <f t="shared" si="5"/>
        <v>2.2399204523171946E-2</v>
      </c>
    </row>
    <row r="68" spans="1:18" x14ac:dyDescent="0.25">
      <c r="A68" s="11" t="s">
        <v>132</v>
      </c>
      <c r="B68" s="11" t="s">
        <v>133</v>
      </c>
      <c r="C68" s="13">
        <f>SUMIF(SIGAF!$B$2:$B$491,$A68,SIGAF!$F$2:$F$491)</f>
        <v>4614556503</v>
      </c>
      <c r="D68" s="13">
        <f>SUMIF(SIGAF!$B$2:$B$491,$A68,SIGAF!$G$2:$G$491)</f>
        <v>4614556503</v>
      </c>
      <c r="E68" s="13">
        <f>SUMIF(SIGAF!$B$2:$B$491,$A68,SIGAF!$H$2:$H$491)</f>
        <v>0</v>
      </c>
      <c r="F68" s="66">
        <f t="shared" si="1"/>
        <v>0</v>
      </c>
      <c r="G68" s="132">
        <f>SUMIF(SIGAF!$B$2:$B$491,$A68,SIGAF!$I$2:$I$491)</f>
        <v>322206673.38</v>
      </c>
      <c r="H68" s="66">
        <f t="shared" si="2"/>
        <v>6.9823974020152987E-2</v>
      </c>
      <c r="I68" s="13">
        <f>SUMIF(SIGAF!$B$2:$B$491,$A68,SIGAF!$J$2:$J$491)</f>
        <v>0</v>
      </c>
      <c r="J68" s="66">
        <f t="shared" si="2"/>
        <v>0</v>
      </c>
      <c r="K68" s="13">
        <f>SUMIF(SIGAF!$B$2:$B$491,$A68,SIGAF!$K$2:$K$491)</f>
        <v>3966154883.6799998</v>
      </c>
      <c r="L68" s="142">
        <f t="shared" si="6"/>
        <v>0.85948777116534092</v>
      </c>
      <c r="M68" s="13">
        <f>SUMIF(SIGAF!$B$2:$B$491,$A68,SIGAF!$L$2:$L$491)</f>
        <v>2858534728.9899998</v>
      </c>
      <c r="N68" s="66">
        <f t="shared" si="3"/>
        <v>0.61946033754958219</v>
      </c>
      <c r="O68" s="85">
        <f>SUMIF(SIGAF!$B$2:$B$491,$A68,SIGAF!$M$2:$M$491)</f>
        <v>326194945.94</v>
      </c>
      <c r="P68" s="66">
        <f t="shared" si="4"/>
        <v>7.0688254814506066E-2</v>
      </c>
      <c r="Q68" s="13">
        <f>SUMIF(SIGAF!$B$2:$B$491,$A68,SIGAF!$N$2:$N$491)</f>
        <v>326194945.94</v>
      </c>
      <c r="R68" s="66">
        <f t="shared" si="5"/>
        <v>7.0688254814506066E-2</v>
      </c>
    </row>
    <row r="69" spans="1:18" x14ac:dyDescent="0.25">
      <c r="A69" s="11" t="s">
        <v>134</v>
      </c>
      <c r="B69" s="11" t="s">
        <v>446</v>
      </c>
      <c r="C69" s="13">
        <f>SUMIF(SIGAF!$B$2:$B$491,$A69,SIGAF!$F$2:$F$491)</f>
        <v>5726578214</v>
      </c>
      <c r="D69" s="13">
        <f>SUMIF(SIGAF!$B$2:$B$491,$A69,SIGAF!$G$2:$G$491)</f>
        <v>5726578214</v>
      </c>
      <c r="E69" s="13">
        <f>SUMIF(SIGAF!$B$2:$B$491,$A69,SIGAF!$H$2:$H$491)</f>
        <v>0</v>
      </c>
      <c r="F69" s="66">
        <f t="shared" si="1"/>
        <v>0</v>
      </c>
      <c r="G69" s="132">
        <f>SUMIF(SIGAF!$B$2:$B$491,$A69,SIGAF!$I$2:$I$491)</f>
        <v>824980267.8499999</v>
      </c>
      <c r="H69" s="66">
        <f t="shared" si="2"/>
        <v>0.14406164327471105</v>
      </c>
      <c r="I69" s="13">
        <f>SUMIF(SIGAF!$B$2:$B$491,$A69,SIGAF!$J$2:$J$491)</f>
        <v>0</v>
      </c>
      <c r="J69" s="66">
        <f t="shared" si="2"/>
        <v>0</v>
      </c>
      <c r="K69" s="13">
        <f>SUMIF(SIGAF!$B$2:$B$491,$A69,SIGAF!$K$2:$K$491)</f>
        <v>4747061351.1500006</v>
      </c>
      <c r="L69" s="142">
        <f t="shared" si="6"/>
        <v>0.82895250422750977</v>
      </c>
      <c r="M69" s="13">
        <f>SUMIF(SIGAF!$B$2:$B$491,$A69,SIGAF!$L$2:$L$491)</f>
        <v>4527120704.7399998</v>
      </c>
      <c r="N69" s="66">
        <f t="shared" si="3"/>
        <v>0.7905455117459782</v>
      </c>
      <c r="O69" s="85">
        <f>SUMIF(SIGAF!$B$2:$B$491,$A69,SIGAF!$M$2:$M$491)</f>
        <v>154536595</v>
      </c>
      <c r="P69" s="66">
        <f t="shared" si="4"/>
        <v>2.6985852497779225E-2</v>
      </c>
      <c r="Q69" s="13">
        <f>SUMIF(SIGAF!$B$2:$B$491,$A69,SIGAF!$N$2:$N$491)</f>
        <v>154536595</v>
      </c>
      <c r="R69" s="66">
        <f t="shared" si="5"/>
        <v>2.6985852497779225E-2</v>
      </c>
    </row>
    <row r="70" spans="1:18" x14ac:dyDescent="0.25">
      <c r="A70" s="11" t="s">
        <v>136</v>
      </c>
      <c r="B70" s="11" t="s">
        <v>447</v>
      </c>
      <c r="C70" s="13">
        <f>SUMIF(SIGAF!$B$2:$B$491,$A70,SIGAF!$F$2:$F$491)</f>
        <v>3100767700</v>
      </c>
      <c r="D70" s="13">
        <f>SUMIF(SIGAF!$B$2:$B$491,$A70,SIGAF!$G$2:$G$491)</f>
        <v>3100767700</v>
      </c>
      <c r="E70" s="13">
        <f>SUMIF(SIGAF!$B$2:$B$491,$A70,SIGAF!$H$2:$H$491)</f>
        <v>0</v>
      </c>
      <c r="F70" s="66">
        <f t="shared" si="1"/>
        <v>0</v>
      </c>
      <c r="G70" s="132">
        <f>SUMIF(SIGAF!$B$2:$B$491,$A70,SIGAF!$I$2:$I$491)</f>
        <v>476982087.39999998</v>
      </c>
      <c r="H70" s="66">
        <f t="shared" si="2"/>
        <v>0.15382709494813171</v>
      </c>
      <c r="I70" s="13">
        <f>SUMIF(SIGAF!$B$2:$B$491,$A70,SIGAF!$J$2:$J$491)</f>
        <v>0</v>
      </c>
      <c r="J70" s="66">
        <f t="shared" si="2"/>
        <v>0</v>
      </c>
      <c r="K70" s="13">
        <f>SUMIF(SIGAF!$B$2:$B$491,$A70,SIGAF!$K$2:$K$491)</f>
        <v>2622839247.5999999</v>
      </c>
      <c r="L70" s="142">
        <f t="shared" si="6"/>
        <v>0.84586770160176783</v>
      </c>
      <c r="M70" s="13">
        <f>SUMIF(SIGAF!$B$2:$B$491,$A70,SIGAF!$L$2:$L$491)</f>
        <v>2621645004.5999999</v>
      </c>
      <c r="N70" s="66">
        <f t="shared" si="3"/>
        <v>0.84548255730347033</v>
      </c>
      <c r="O70" s="85">
        <f>SUMIF(SIGAF!$B$2:$B$491,$A70,SIGAF!$M$2:$M$491)</f>
        <v>946365</v>
      </c>
      <c r="P70" s="66">
        <f t="shared" si="4"/>
        <v>3.0520345010043803E-4</v>
      </c>
      <c r="Q70" s="13">
        <f>SUMIF(SIGAF!$B$2:$B$491,$A70,SIGAF!$N$2:$N$491)</f>
        <v>946365</v>
      </c>
      <c r="R70" s="66">
        <f t="shared" si="5"/>
        <v>3.0520345010043803E-4</v>
      </c>
    </row>
    <row r="71" spans="1:18" x14ac:dyDescent="0.25">
      <c r="A71" s="11" t="s">
        <v>138</v>
      </c>
      <c r="B71" s="11" t="s">
        <v>448</v>
      </c>
      <c r="C71" s="13">
        <f>SUMIF(SIGAF!$B$2:$B$491,$A71,SIGAF!$F$2:$F$491)</f>
        <v>1540946000</v>
      </c>
      <c r="D71" s="13">
        <f>SUMIF(SIGAF!$B$2:$B$491,$A71,SIGAF!$G$2:$G$491)</f>
        <v>1540946000</v>
      </c>
      <c r="E71" s="13">
        <f>SUMIF(SIGAF!$B$2:$B$491,$A71,SIGAF!$H$2:$H$491)</f>
        <v>0</v>
      </c>
      <c r="F71" s="66">
        <f t="shared" si="1"/>
        <v>0</v>
      </c>
      <c r="G71" s="132">
        <f>SUMIF(SIGAF!$B$2:$B$491,$A71,SIGAF!$I$2:$I$491)</f>
        <v>107157141.84999999</v>
      </c>
      <c r="H71" s="66">
        <f t="shared" si="2"/>
        <v>6.953984231115172E-2</v>
      </c>
      <c r="I71" s="13">
        <f>SUMIF(SIGAF!$B$2:$B$491,$A71,SIGAF!$J$2:$J$491)</f>
        <v>0</v>
      </c>
      <c r="J71" s="66">
        <f t="shared" si="2"/>
        <v>0</v>
      </c>
      <c r="K71" s="13">
        <f>SUMIF(SIGAF!$B$2:$B$491,$A71,SIGAF!$K$2:$K$491)</f>
        <v>1421845078.1500001</v>
      </c>
      <c r="L71" s="142">
        <f t="shared" si="6"/>
        <v>0.92270921768186565</v>
      </c>
      <c r="M71" s="13">
        <f>SUMIF(SIGAF!$B$2:$B$491,$A71,SIGAF!$L$2:$L$491)</f>
        <v>1303798871.46</v>
      </c>
      <c r="N71" s="66">
        <f t="shared" si="3"/>
        <v>0.84610289488405177</v>
      </c>
      <c r="O71" s="85">
        <f>SUMIF(SIGAF!$B$2:$B$491,$A71,SIGAF!$M$2:$M$491)</f>
        <v>11943780</v>
      </c>
      <c r="P71" s="66">
        <f t="shared" si="4"/>
        <v>7.7509400069827239E-3</v>
      </c>
      <c r="Q71" s="13">
        <f>SUMIF(SIGAF!$B$2:$B$491,$A71,SIGAF!$N$2:$N$491)</f>
        <v>11943780</v>
      </c>
      <c r="R71" s="66">
        <f t="shared" si="5"/>
        <v>7.7509400069827239E-3</v>
      </c>
    </row>
    <row r="72" spans="1:18" x14ac:dyDescent="0.25">
      <c r="A72" s="11" t="s">
        <v>140</v>
      </c>
      <c r="B72" s="11" t="s">
        <v>141</v>
      </c>
      <c r="C72" s="13">
        <f>SUMIF(SIGAF!$B$2:$B$491,$A72,SIGAF!$F$2:$F$491)</f>
        <v>16925000</v>
      </c>
      <c r="D72" s="13">
        <f>SUMIF(SIGAF!$B$2:$B$491,$A72,SIGAF!$G$2:$G$491)</f>
        <v>16925000</v>
      </c>
      <c r="E72" s="13">
        <f>SUMIF(SIGAF!$B$2:$B$491,$A72,SIGAF!$H$2:$H$491)</f>
        <v>0</v>
      </c>
      <c r="F72" s="66">
        <f t="shared" si="1"/>
        <v>0</v>
      </c>
      <c r="G72" s="132">
        <f>SUMIF(SIGAF!$B$2:$B$491,$A72,SIGAF!$I$2:$I$491)</f>
        <v>1082565</v>
      </c>
      <c r="H72" s="66">
        <f t="shared" si="2"/>
        <v>6.3962481536189067E-2</v>
      </c>
      <c r="I72" s="13">
        <f>SUMIF(SIGAF!$B$2:$B$491,$A72,SIGAF!$J$2:$J$491)</f>
        <v>0</v>
      </c>
      <c r="J72" s="66">
        <f t="shared" si="2"/>
        <v>0</v>
      </c>
      <c r="K72" s="13">
        <f>SUMIF(SIGAF!$B$2:$B$491,$A72,SIGAF!$K$2:$K$491)</f>
        <v>5436995</v>
      </c>
      <c r="L72" s="142">
        <f t="shared" si="6"/>
        <v>0.32124047267355982</v>
      </c>
      <c r="M72" s="13">
        <f>SUMIF(SIGAF!$B$2:$B$491,$A72,SIGAF!$L$2:$L$491)</f>
        <v>4922715</v>
      </c>
      <c r="N72" s="66">
        <f t="shared" si="3"/>
        <v>0.2908546528803545</v>
      </c>
      <c r="O72" s="85">
        <f>SUMIF(SIGAF!$B$2:$B$491,$A72,SIGAF!$M$2:$M$491)</f>
        <v>10405440</v>
      </c>
      <c r="P72" s="66">
        <f t="shared" si="4"/>
        <v>0.61479704579025107</v>
      </c>
      <c r="Q72" s="13">
        <f>SUMIF(SIGAF!$B$2:$B$491,$A72,SIGAF!$N$2:$N$491)</f>
        <v>10405440</v>
      </c>
      <c r="R72" s="66">
        <f t="shared" si="5"/>
        <v>0.61479704579025107</v>
      </c>
    </row>
    <row r="73" spans="1:18" x14ac:dyDescent="0.25">
      <c r="A73" s="11" t="s">
        <v>142</v>
      </c>
      <c r="B73" s="11" t="s">
        <v>449</v>
      </c>
      <c r="C73" s="13">
        <f>SUMIF(SIGAF!$B$2:$B$491,$A73,SIGAF!$F$2:$F$491)</f>
        <v>905797316</v>
      </c>
      <c r="D73" s="13">
        <f>SUMIF(SIGAF!$B$2:$B$491,$A73,SIGAF!$G$2:$G$491)</f>
        <v>905797316</v>
      </c>
      <c r="E73" s="13">
        <f>SUMIF(SIGAF!$B$2:$B$491,$A73,SIGAF!$H$2:$H$491)</f>
        <v>0</v>
      </c>
      <c r="F73" s="66">
        <f t="shared" si="1"/>
        <v>0</v>
      </c>
      <c r="G73" s="132">
        <f>SUMIF(SIGAF!$B$2:$B$491,$A73,SIGAF!$I$2:$I$491)</f>
        <v>162288046.59</v>
      </c>
      <c r="H73" s="66">
        <f t="shared" si="2"/>
        <v>0.17916596099739382</v>
      </c>
      <c r="I73" s="13">
        <f>SUMIF(SIGAF!$B$2:$B$491,$A73,SIGAF!$J$2:$J$491)</f>
        <v>0</v>
      </c>
      <c r="J73" s="66">
        <f t="shared" si="2"/>
        <v>0</v>
      </c>
      <c r="K73" s="13">
        <f>SUMIF(SIGAF!$B$2:$B$491,$A73,SIGAF!$K$2:$K$491)</f>
        <v>613563230.21000004</v>
      </c>
      <c r="L73" s="142">
        <f t="shared" si="6"/>
        <v>0.67737364570640879</v>
      </c>
      <c r="M73" s="13">
        <f>SUMIF(SIGAF!$B$2:$B$491,$A73,SIGAF!$L$2:$L$491)</f>
        <v>521410338.38</v>
      </c>
      <c r="N73" s="66">
        <f t="shared" si="3"/>
        <v>0.57563687722386669</v>
      </c>
      <c r="O73" s="85">
        <f>SUMIF(SIGAF!$B$2:$B$491,$A73,SIGAF!$M$2:$M$491)</f>
        <v>129946039.2</v>
      </c>
      <c r="P73" s="66">
        <f t="shared" si="4"/>
        <v>0.14346039329619742</v>
      </c>
      <c r="Q73" s="13">
        <f>SUMIF(SIGAF!$B$2:$B$491,$A73,SIGAF!$N$2:$N$491)</f>
        <v>129946039.2</v>
      </c>
      <c r="R73" s="66">
        <f t="shared" si="5"/>
        <v>0.14346039329619742</v>
      </c>
    </row>
    <row r="74" spans="1:18" x14ac:dyDescent="0.25">
      <c r="A74" s="11" t="s">
        <v>144</v>
      </c>
      <c r="B74" s="11" t="s">
        <v>450</v>
      </c>
      <c r="C74" s="13">
        <f>SUMIF(SIGAF!$B$2:$B$491,$A74,SIGAF!$F$2:$F$491)</f>
        <v>162142198</v>
      </c>
      <c r="D74" s="13">
        <f>SUMIF(SIGAF!$B$2:$B$491,$A74,SIGAF!$G$2:$G$491)</f>
        <v>162142198</v>
      </c>
      <c r="E74" s="13">
        <f>SUMIF(SIGAF!$B$2:$B$491,$A74,SIGAF!$H$2:$H$491)</f>
        <v>0</v>
      </c>
      <c r="F74" s="66">
        <f t="shared" si="1"/>
        <v>0</v>
      </c>
      <c r="G74" s="132">
        <f>SUMIF(SIGAF!$B$2:$B$491,$A74,SIGAF!$I$2:$I$491)</f>
        <v>77470427.010000005</v>
      </c>
      <c r="H74" s="66">
        <f t="shared" si="2"/>
        <v>0.47779312212111497</v>
      </c>
      <c r="I74" s="13">
        <f>SUMIF(SIGAF!$B$2:$B$491,$A74,SIGAF!$J$2:$J$491)</f>
        <v>0</v>
      </c>
      <c r="J74" s="66">
        <f t="shared" si="2"/>
        <v>0</v>
      </c>
      <c r="K74" s="13">
        <f>SUMIF(SIGAF!$B$2:$B$491,$A74,SIGAF!$K$2:$K$491)</f>
        <v>83376800.189999998</v>
      </c>
      <c r="L74" s="142">
        <f t="shared" si="6"/>
        <v>0.51422024135876088</v>
      </c>
      <c r="M74" s="13">
        <f>SUMIF(SIGAF!$B$2:$B$491,$A74,SIGAF!$L$2:$L$491)</f>
        <v>75343775.299999997</v>
      </c>
      <c r="N74" s="66">
        <f t="shared" si="3"/>
        <v>0.46467715517215324</v>
      </c>
      <c r="O74" s="85">
        <f>SUMIF(SIGAF!$B$2:$B$491,$A74,SIGAF!$M$2:$M$491)</f>
        <v>1294970.8</v>
      </c>
      <c r="P74" s="66">
        <f t="shared" si="4"/>
        <v>7.9866365201241452E-3</v>
      </c>
      <c r="Q74" s="13">
        <f>SUMIF(SIGAF!$B$2:$B$491,$A74,SIGAF!$N$2:$N$491)</f>
        <v>1294970.8</v>
      </c>
      <c r="R74" s="66">
        <f t="shared" si="5"/>
        <v>7.9866365201241452E-3</v>
      </c>
    </row>
    <row r="75" spans="1:18" x14ac:dyDescent="0.25">
      <c r="A75" s="11" t="s">
        <v>146</v>
      </c>
      <c r="B75" s="11" t="s">
        <v>451</v>
      </c>
      <c r="C75" s="13">
        <f>SUMIF(SIGAF!$B$2:$B$491,$A75,SIGAF!$F$2:$F$491)</f>
        <v>34353640</v>
      </c>
      <c r="D75" s="13">
        <f>SUMIF(SIGAF!$B$2:$B$491,$A75,SIGAF!$G$2:$G$491)</f>
        <v>34353640</v>
      </c>
      <c r="E75" s="13">
        <f>SUMIF(SIGAF!$B$2:$B$491,$A75,SIGAF!$H$2:$H$491)</f>
        <v>0</v>
      </c>
      <c r="F75" s="66">
        <f t="shared" ref="F75:F139" si="22">+IFERROR(+E75/$C75,0)</f>
        <v>0</v>
      </c>
      <c r="G75" s="132">
        <f>SUMIF(SIGAF!$B$2:$B$491,$A75,SIGAF!$I$2:$I$491)</f>
        <v>3363585.32</v>
      </c>
      <c r="H75" s="66">
        <f t="shared" ref="H75:J139" si="23">+IFERROR(+G75/$C75,0)</f>
        <v>9.7910594626944916E-2</v>
      </c>
      <c r="I75" s="13">
        <f>SUMIF(SIGAF!$B$2:$B$491,$A75,SIGAF!$J$2:$J$491)</f>
        <v>0</v>
      </c>
      <c r="J75" s="66">
        <f t="shared" si="23"/>
        <v>0</v>
      </c>
      <c r="K75" s="13">
        <f>SUMIF(SIGAF!$B$2:$B$491,$A75,SIGAF!$K$2:$K$491)</f>
        <v>23143771.780000001</v>
      </c>
      <c r="L75" s="142">
        <f t="shared" si="6"/>
        <v>0.67369198082066417</v>
      </c>
      <c r="M75" s="13">
        <f>SUMIF(SIGAF!$B$2:$B$491,$A75,SIGAF!$L$2:$L$491)</f>
        <v>19070885.879999999</v>
      </c>
      <c r="N75" s="66">
        <f t="shared" ref="N75:N139" si="24">+IFERROR(+M75/$C75,0)</f>
        <v>0.55513435781477594</v>
      </c>
      <c r="O75" s="85">
        <f>SUMIF(SIGAF!$B$2:$B$491,$A75,SIGAF!$M$2:$M$491)</f>
        <v>7846282.9000000004</v>
      </c>
      <c r="P75" s="66">
        <f t="shared" ref="P75:P139" si="25">+IFERROR(+O75/$C75,0)</f>
        <v>0.22839742455239095</v>
      </c>
      <c r="Q75" s="13">
        <f>SUMIF(SIGAF!$B$2:$B$491,$A75,SIGAF!$N$2:$N$491)</f>
        <v>7846282.9000000004</v>
      </c>
      <c r="R75" s="66">
        <f t="shared" ref="R75:R139" si="26">+IFERROR(+Q75/$C75,0)</f>
        <v>0.22839742455239095</v>
      </c>
    </row>
    <row r="76" spans="1:18" x14ac:dyDescent="0.25">
      <c r="A76" s="11" t="s">
        <v>148</v>
      </c>
      <c r="B76" s="11" t="s">
        <v>452</v>
      </c>
      <c r="C76" s="13">
        <f>SUMIF(SIGAF!$B$2:$B$491,$A76,SIGAF!$F$2:$F$491)</f>
        <v>15951680</v>
      </c>
      <c r="D76" s="13">
        <f>SUMIF(SIGAF!$B$2:$B$491,$A76,SIGAF!$G$2:$G$491)</f>
        <v>15951680</v>
      </c>
      <c r="E76" s="13">
        <f>SUMIF(SIGAF!$B$2:$B$491,$A76,SIGAF!$H$2:$H$491)</f>
        <v>0</v>
      </c>
      <c r="F76" s="66">
        <f t="shared" si="22"/>
        <v>0</v>
      </c>
      <c r="G76" s="132">
        <f>SUMIF(SIGAF!$B$2:$B$491,$A76,SIGAF!$I$2:$I$491)</f>
        <v>1887001</v>
      </c>
      <c r="H76" s="66">
        <f t="shared" si="23"/>
        <v>0.11829481283476098</v>
      </c>
      <c r="I76" s="13">
        <f>SUMIF(SIGAF!$B$2:$B$491,$A76,SIGAF!$J$2:$J$491)</f>
        <v>0</v>
      </c>
      <c r="J76" s="66">
        <f t="shared" si="23"/>
        <v>0</v>
      </c>
      <c r="K76" s="13">
        <f>SUMIF(SIGAF!$B$2:$B$491,$A76,SIGAF!$K$2:$K$491)</f>
        <v>13243580</v>
      </c>
      <c r="L76" s="142">
        <f t="shared" si="6"/>
        <v>0.83023104776424805</v>
      </c>
      <c r="M76" s="13">
        <f>SUMIF(SIGAF!$B$2:$B$491,$A76,SIGAF!$L$2:$L$491)</f>
        <v>10511230</v>
      </c>
      <c r="N76" s="66">
        <f t="shared" si="24"/>
        <v>0.65894187947601757</v>
      </c>
      <c r="O76" s="85">
        <f>SUMIF(SIGAF!$B$2:$B$491,$A76,SIGAF!$M$2:$M$491)</f>
        <v>821099</v>
      </c>
      <c r="P76" s="66">
        <f t="shared" si="25"/>
        <v>5.1474139400990992E-2</v>
      </c>
      <c r="Q76" s="13">
        <f>SUMIF(SIGAF!$B$2:$B$491,$A76,SIGAF!$N$2:$N$491)</f>
        <v>821099</v>
      </c>
      <c r="R76" s="66">
        <f t="shared" si="26"/>
        <v>5.1474139400990992E-2</v>
      </c>
    </row>
    <row r="77" spans="1:18" x14ac:dyDescent="0.25">
      <c r="A77" s="11" t="s">
        <v>314</v>
      </c>
      <c r="B77" s="11" t="s">
        <v>545</v>
      </c>
      <c r="C77" s="13">
        <f>SUMIF(SIGAF!$B$2:$B$491,$A77,SIGAF!$F$2:$F$491)</f>
        <v>97250</v>
      </c>
      <c r="D77" s="13">
        <f>SUMIF(SIGAF!$B$2:$B$491,$A77,SIGAF!$G$2:$G$491)</f>
        <v>97250</v>
      </c>
      <c r="E77" s="13">
        <f>SUMIF(SIGAF!$B$2:$B$491,$A77,SIGAF!$H$2:$H$491)</f>
        <v>0</v>
      </c>
      <c r="F77" s="66">
        <f t="shared" si="22"/>
        <v>0</v>
      </c>
      <c r="G77" s="132">
        <f>SUMIF(SIGAF!$B$2:$B$491,$A77,SIGAF!$I$2:$I$491)</f>
        <v>0</v>
      </c>
      <c r="H77" s="66">
        <f t="shared" si="23"/>
        <v>0</v>
      </c>
      <c r="I77" s="13">
        <f>SUMIF(SIGAF!$B$2:$B$491,$A77,SIGAF!$J$2:$J$491)</f>
        <v>0</v>
      </c>
      <c r="J77" s="66">
        <f t="shared" si="23"/>
        <v>0</v>
      </c>
      <c r="K77" s="13">
        <f>SUMIF(SIGAF!$B$2:$B$491,$A77,SIGAF!$K$2:$K$491)</f>
        <v>97250</v>
      </c>
      <c r="L77" s="142">
        <f t="shared" ref="L77:L141" si="27">+IFERROR(+K77/$C77,0)</f>
        <v>1</v>
      </c>
      <c r="M77" s="13">
        <f>SUMIF(SIGAF!$B$2:$B$491,$A77,SIGAF!$L$2:$L$491)</f>
        <v>97250</v>
      </c>
      <c r="N77" s="66">
        <f t="shared" si="24"/>
        <v>1</v>
      </c>
      <c r="O77" s="85">
        <f>SUMIF(SIGAF!$B$2:$B$491,$A77,SIGAF!$M$2:$M$491)</f>
        <v>0</v>
      </c>
      <c r="P77" s="66">
        <f t="shared" si="25"/>
        <v>0</v>
      </c>
      <c r="Q77" s="13">
        <f>SUMIF(SIGAF!$B$2:$B$491,$A77,SIGAF!$N$2:$N$491)</f>
        <v>0</v>
      </c>
      <c r="R77" s="66">
        <f t="shared" si="26"/>
        <v>0</v>
      </c>
    </row>
    <row r="78" spans="1:18" x14ac:dyDescent="0.25">
      <c r="A78" s="11" t="s">
        <v>150</v>
      </c>
      <c r="B78" s="11" t="s">
        <v>453</v>
      </c>
      <c r="C78" s="13">
        <f>SUMIF(SIGAF!$B$2:$B$491,$A78,SIGAF!$F$2:$F$491)</f>
        <v>12905710</v>
      </c>
      <c r="D78" s="13">
        <f>SUMIF(SIGAF!$B$2:$B$491,$A78,SIGAF!$G$2:$G$491)</f>
        <v>12905710</v>
      </c>
      <c r="E78" s="13">
        <f>SUMIF(SIGAF!$B$2:$B$491,$A78,SIGAF!$H$2:$H$491)</f>
        <v>0</v>
      </c>
      <c r="F78" s="66">
        <f t="shared" si="22"/>
        <v>0</v>
      </c>
      <c r="G78" s="132">
        <f>SUMIF(SIGAF!$B$2:$B$491,$A78,SIGAF!$I$2:$I$491)</f>
        <v>1150917</v>
      </c>
      <c r="H78" s="66">
        <f t="shared" si="23"/>
        <v>8.9178898332598511E-2</v>
      </c>
      <c r="I78" s="13">
        <f>SUMIF(SIGAF!$B$2:$B$491,$A78,SIGAF!$J$2:$J$491)</f>
        <v>0</v>
      </c>
      <c r="J78" s="66">
        <f t="shared" si="23"/>
        <v>0</v>
      </c>
      <c r="K78" s="13">
        <f>SUMIF(SIGAF!$B$2:$B$491,$A78,SIGAF!$K$2:$K$491)</f>
        <v>8574683</v>
      </c>
      <c r="L78" s="142">
        <f t="shared" si="27"/>
        <v>0.6644100169614845</v>
      </c>
      <c r="M78" s="13">
        <f>SUMIF(SIGAF!$B$2:$B$491,$A78,SIGAF!$L$2:$L$491)</f>
        <v>7589503</v>
      </c>
      <c r="N78" s="66">
        <f t="shared" si="24"/>
        <v>0.58807326369490709</v>
      </c>
      <c r="O78" s="85">
        <f>SUMIF(SIGAF!$B$2:$B$491,$A78,SIGAF!$M$2:$M$491)</f>
        <v>3180110</v>
      </c>
      <c r="P78" s="66">
        <f t="shared" si="25"/>
        <v>0.24641108470591699</v>
      </c>
      <c r="Q78" s="13">
        <f>SUMIF(SIGAF!$B$2:$B$491,$A78,SIGAF!$N$2:$N$491)</f>
        <v>3180110</v>
      </c>
      <c r="R78" s="66">
        <f t="shared" si="26"/>
        <v>0.24641108470591699</v>
      </c>
    </row>
    <row r="79" spans="1:18" x14ac:dyDescent="0.25">
      <c r="A79" s="11" t="s">
        <v>331</v>
      </c>
      <c r="B79" s="11" t="s">
        <v>332</v>
      </c>
      <c r="C79" s="13">
        <f>SUMIF(SIGAF!$B$2:$B$491,$A79,SIGAF!$F$2:$F$491)</f>
        <v>600000</v>
      </c>
      <c r="D79" s="13">
        <f>SUMIF(SIGAF!$B$2:$B$491,$A79,SIGAF!$G$2:$G$491)</f>
        <v>600000</v>
      </c>
      <c r="E79" s="13">
        <f>SUMIF(SIGAF!$B$2:$B$491,$A79,SIGAF!$H$2:$H$491)</f>
        <v>0</v>
      </c>
      <c r="F79" s="66">
        <f t="shared" si="22"/>
        <v>0</v>
      </c>
      <c r="G79" s="132">
        <f>SUMIF(SIGAF!$B$2:$B$491,$A79,SIGAF!$I$2:$I$491)</f>
        <v>0</v>
      </c>
      <c r="H79" s="66">
        <f t="shared" si="23"/>
        <v>0</v>
      </c>
      <c r="I79" s="13">
        <f>SUMIF(SIGAF!$B$2:$B$491,$A79,SIGAF!$J$2:$J$491)</f>
        <v>0</v>
      </c>
      <c r="J79" s="66">
        <f t="shared" si="23"/>
        <v>0</v>
      </c>
      <c r="K79" s="13">
        <f>SUMIF(SIGAF!$B$2:$B$491,$A79,SIGAF!$K$2:$K$491)</f>
        <v>0</v>
      </c>
      <c r="L79" s="142">
        <f t="shared" si="27"/>
        <v>0</v>
      </c>
      <c r="M79" s="13">
        <f>SUMIF(SIGAF!$B$2:$B$491,$A79,SIGAF!$L$2:$L$491)</f>
        <v>0</v>
      </c>
      <c r="N79" s="66">
        <f t="shared" si="24"/>
        <v>0</v>
      </c>
      <c r="O79" s="85">
        <f>SUMIF(SIGAF!$B$2:$B$491,$A79,SIGAF!$M$2:$M$491)</f>
        <v>600000</v>
      </c>
      <c r="P79" s="66">
        <f t="shared" si="25"/>
        <v>1</v>
      </c>
      <c r="Q79" s="13">
        <f>SUMIF(SIGAF!$B$2:$B$491,$A79,SIGAF!$N$2:$N$491)</f>
        <v>600000</v>
      </c>
      <c r="R79" s="66">
        <f t="shared" si="26"/>
        <v>1</v>
      </c>
    </row>
    <row r="80" spans="1:18" x14ac:dyDescent="0.25">
      <c r="A80" s="11" t="s">
        <v>152</v>
      </c>
      <c r="B80" s="11" t="s">
        <v>454</v>
      </c>
      <c r="C80" s="13">
        <f>SUMIF(SIGAF!$B$2:$B$491,$A80,SIGAF!$F$2:$F$491)</f>
        <v>250000</v>
      </c>
      <c r="D80" s="13">
        <f>SUMIF(SIGAF!$B$2:$B$491,$A80,SIGAF!$G$2:$G$491)</f>
        <v>250000</v>
      </c>
      <c r="E80" s="13">
        <f>SUMIF(SIGAF!$B$2:$B$491,$A80,SIGAF!$H$2:$H$491)</f>
        <v>0</v>
      </c>
      <c r="F80" s="66">
        <f t="shared" si="22"/>
        <v>0</v>
      </c>
      <c r="G80" s="132">
        <f>SUMIF(SIGAF!$B$2:$B$491,$A80,SIGAF!$I$2:$I$491)</f>
        <v>67024.5</v>
      </c>
      <c r="H80" s="66">
        <f t="shared" si="23"/>
        <v>0.268098</v>
      </c>
      <c r="I80" s="13">
        <f>SUMIF(SIGAF!$B$2:$B$491,$A80,SIGAF!$J$2:$J$491)</f>
        <v>0</v>
      </c>
      <c r="J80" s="66">
        <f t="shared" si="23"/>
        <v>0</v>
      </c>
      <c r="K80" s="13">
        <f>SUMIF(SIGAF!$B$2:$B$491,$A80,SIGAF!$K$2:$K$491)</f>
        <v>90969.5</v>
      </c>
      <c r="L80" s="142">
        <f t="shared" si="27"/>
        <v>0.36387799999999998</v>
      </c>
      <c r="M80" s="13">
        <f>SUMIF(SIGAF!$B$2:$B$491,$A80,SIGAF!$L$2:$L$491)</f>
        <v>90969.5</v>
      </c>
      <c r="N80" s="66">
        <f t="shared" si="24"/>
        <v>0.36387799999999998</v>
      </c>
      <c r="O80" s="85">
        <f>SUMIF(SIGAF!$B$2:$B$491,$A80,SIGAF!$M$2:$M$491)</f>
        <v>92006</v>
      </c>
      <c r="P80" s="66">
        <f t="shared" si="25"/>
        <v>0.36802400000000002</v>
      </c>
      <c r="Q80" s="13">
        <f>SUMIF(SIGAF!$B$2:$B$491,$A80,SIGAF!$N$2:$N$491)</f>
        <v>92006</v>
      </c>
      <c r="R80" s="66">
        <f t="shared" si="26"/>
        <v>0.36802400000000002</v>
      </c>
    </row>
    <row r="81" spans="1:18" x14ac:dyDescent="0.25">
      <c r="A81" s="11" t="s">
        <v>333</v>
      </c>
      <c r="B81" s="11" t="s">
        <v>455</v>
      </c>
      <c r="C81" s="13">
        <f>SUMIF(SIGAF!$B$2:$B$491,$A81,SIGAF!$F$2:$F$491)</f>
        <v>4549000</v>
      </c>
      <c r="D81" s="13">
        <f>SUMIF(SIGAF!$B$2:$B$491,$A81,SIGAF!$G$2:$G$491)</f>
        <v>4549000</v>
      </c>
      <c r="E81" s="13">
        <f>SUMIF(SIGAF!$B$2:$B$491,$A81,SIGAF!$H$2:$H$491)</f>
        <v>0</v>
      </c>
      <c r="F81" s="66">
        <f t="shared" si="22"/>
        <v>0</v>
      </c>
      <c r="G81" s="132">
        <f>SUMIF(SIGAF!$B$2:$B$491,$A81,SIGAF!$I$2:$I$491)</f>
        <v>258642.82</v>
      </c>
      <c r="H81" s="66">
        <f t="shared" si="23"/>
        <v>5.6857071883930535E-2</v>
      </c>
      <c r="I81" s="13">
        <f>SUMIF(SIGAF!$B$2:$B$491,$A81,SIGAF!$J$2:$J$491)</f>
        <v>0</v>
      </c>
      <c r="J81" s="66">
        <f t="shared" si="23"/>
        <v>0</v>
      </c>
      <c r="K81" s="13">
        <f>SUMIF(SIGAF!$B$2:$B$491,$A81,SIGAF!$K$2:$K$491)</f>
        <v>1137289.28</v>
      </c>
      <c r="L81" s="142">
        <f t="shared" si="27"/>
        <v>0.25000863486480546</v>
      </c>
      <c r="M81" s="13">
        <f>SUMIF(SIGAF!$B$2:$B$491,$A81,SIGAF!$L$2:$L$491)</f>
        <v>781933.38</v>
      </c>
      <c r="N81" s="66">
        <f t="shared" si="24"/>
        <v>0.1718912684106397</v>
      </c>
      <c r="O81" s="85">
        <f>SUMIF(SIGAF!$B$2:$B$491,$A81,SIGAF!$M$2:$M$491)</f>
        <v>3153067.9</v>
      </c>
      <c r="P81" s="66">
        <f t="shared" si="25"/>
        <v>0.69313429325126397</v>
      </c>
      <c r="Q81" s="13">
        <f>SUMIF(SIGAF!$B$2:$B$491,$A81,SIGAF!$N$2:$N$491)</f>
        <v>3153067.9</v>
      </c>
      <c r="R81" s="66">
        <f t="shared" si="26"/>
        <v>0.69313429325126397</v>
      </c>
    </row>
    <row r="82" spans="1:18" x14ac:dyDescent="0.25">
      <c r="A82" s="11" t="s">
        <v>154</v>
      </c>
      <c r="B82" s="11" t="s">
        <v>456</v>
      </c>
      <c r="C82" s="13">
        <f>SUMIF(SIGAF!$B$2:$B$491,$A82,SIGAF!$F$2:$F$491)</f>
        <v>1082824093</v>
      </c>
      <c r="D82" s="13">
        <f>SUMIF(SIGAF!$B$2:$B$491,$A82,SIGAF!$G$2:$G$491)</f>
        <v>1082824093</v>
      </c>
      <c r="E82" s="13">
        <f>SUMIF(SIGAF!$B$2:$B$491,$A82,SIGAF!$H$2:$H$491)</f>
        <v>0</v>
      </c>
      <c r="F82" s="66">
        <f t="shared" si="22"/>
        <v>0</v>
      </c>
      <c r="G82" s="132">
        <f>SUMIF(SIGAF!$B$2:$B$491,$A82,SIGAF!$I$2:$I$491)</f>
        <v>62720421.969999999</v>
      </c>
      <c r="H82" s="66">
        <f t="shared" si="23"/>
        <v>5.7923001875799601E-2</v>
      </c>
      <c r="I82" s="13">
        <f>SUMIF(SIGAF!$B$2:$B$491,$A82,SIGAF!$J$2:$J$491)</f>
        <v>0</v>
      </c>
      <c r="J82" s="66">
        <f t="shared" si="23"/>
        <v>0</v>
      </c>
      <c r="K82" s="13">
        <f>SUMIF(SIGAF!$B$2:$B$491,$A82,SIGAF!$K$2:$K$491)</f>
        <v>844100641.07999992</v>
      </c>
      <c r="L82" s="142">
        <f t="shared" si="27"/>
        <v>0.77953625758491496</v>
      </c>
      <c r="M82" s="13">
        <f>SUMIF(SIGAF!$B$2:$B$491,$A82,SIGAF!$L$2:$L$491)</f>
        <v>479515781.10000002</v>
      </c>
      <c r="N82" s="66">
        <f t="shared" si="24"/>
        <v>0.44283811581203891</v>
      </c>
      <c r="O82" s="85">
        <f>SUMIF(SIGAF!$B$2:$B$491,$A82,SIGAF!$M$2:$M$491)</f>
        <v>176003029.94999999</v>
      </c>
      <c r="P82" s="66">
        <f t="shared" si="25"/>
        <v>0.16254074053928536</v>
      </c>
      <c r="Q82" s="13">
        <f>SUMIF(SIGAF!$B$2:$B$491,$A82,SIGAF!$N$2:$N$491)</f>
        <v>176003029.94999999</v>
      </c>
      <c r="R82" s="66">
        <f t="shared" si="26"/>
        <v>0.16254074053928536</v>
      </c>
    </row>
    <row r="83" spans="1:18" x14ac:dyDescent="0.25">
      <c r="A83" s="11" t="s">
        <v>370</v>
      </c>
      <c r="B83" s="11" t="s">
        <v>457</v>
      </c>
      <c r="C83" s="13">
        <f>SUMIF(SIGAF!$B$2:$B$491,$A83,SIGAF!$F$2:$F$491)</f>
        <v>24045000</v>
      </c>
      <c r="D83" s="13">
        <f>SUMIF(SIGAF!$B$2:$B$491,$A83,SIGAF!$G$2:$G$491)</f>
        <v>24045000</v>
      </c>
      <c r="E83" s="13">
        <f>SUMIF(SIGAF!$B$2:$B$491,$A83,SIGAF!$H$2:$H$491)</f>
        <v>0</v>
      </c>
      <c r="F83" s="66">
        <f t="shared" si="22"/>
        <v>0</v>
      </c>
      <c r="G83" s="132">
        <f>SUMIF(SIGAF!$B$2:$B$491,$A83,SIGAF!$I$2:$I$491)</f>
        <v>190000</v>
      </c>
      <c r="H83" s="66">
        <f t="shared" si="23"/>
        <v>7.9018506966105212E-3</v>
      </c>
      <c r="I83" s="13">
        <f>SUMIF(SIGAF!$B$2:$B$491,$A83,SIGAF!$J$2:$J$491)</f>
        <v>0</v>
      </c>
      <c r="J83" s="66">
        <f t="shared" si="23"/>
        <v>0</v>
      </c>
      <c r="K83" s="13">
        <f>SUMIF(SIGAF!$B$2:$B$491,$A83,SIGAF!$K$2:$K$491)</f>
        <v>21771056</v>
      </c>
      <c r="L83" s="142">
        <f t="shared" si="27"/>
        <v>0.90542965273445619</v>
      </c>
      <c r="M83" s="13">
        <f>SUMIF(SIGAF!$B$2:$B$491,$A83,SIGAF!$L$2:$L$491)</f>
        <v>1811000</v>
      </c>
      <c r="N83" s="66">
        <f t="shared" si="24"/>
        <v>7.5317113745061337E-2</v>
      </c>
      <c r="O83" s="85">
        <f>SUMIF(SIGAF!$B$2:$B$491,$A83,SIGAF!$M$2:$M$491)</f>
        <v>2083944</v>
      </c>
      <c r="P83" s="66">
        <f t="shared" si="25"/>
        <v>8.6668496568933245E-2</v>
      </c>
      <c r="Q83" s="13">
        <f>SUMIF(SIGAF!$B$2:$B$491,$A83,SIGAF!$N$2:$N$491)</f>
        <v>2083944</v>
      </c>
      <c r="R83" s="66">
        <f t="shared" si="26"/>
        <v>8.6668496568933245E-2</v>
      </c>
    </row>
    <row r="84" spans="1:18" x14ac:dyDescent="0.25">
      <c r="A84" s="11" t="s">
        <v>335</v>
      </c>
      <c r="B84" s="11" t="s">
        <v>546</v>
      </c>
      <c r="C84" s="13">
        <f>SUMIF(SIGAF!$B$2:$B$491,$A84,SIGAF!$F$2:$F$491)</f>
        <v>1000000</v>
      </c>
      <c r="D84" s="13">
        <f>SUMIF(SIGAF!$B$2:$B$491,$A84,SIGAF!$G$2:$G$491)</f>
        <v>1000000</v>
      </c>
      <c r="E84" s="13">
        <f>SUMIF(SIGAF!$B$2:$B$491,$A84,SIGAF!$H$2:$H$491)</f>
        <v>0</v>
      </c>
      <c r="F84" s="66">
        <f t="shared" si="22"/>
        <v>0</v>
      </c>
      <c r="G84" s="132">
        <f>SUMIF(SIGAF!$B$2:$B$491,$A84,SIGAF!$I$2:$I$491)</f>
        <v>0</v>
      </c>
      <c r="H84" s="66">
        <f t="shared" si="23"/>
        <v>0</v>
      </c>
      <c r="I84" s="13">
        <f>SUMIF(SIGAF!$B$2:$B$491,$A84,SIGAF!$J$2:$J$491)</f>
        <v>0</v>
      </c>
      <c r="J84" s="66">
        <f t="shared" si="23"/>
        <v>0</v>
      </c>
      <c r="K84" s="13">
        <f>SUMIF(SIGAF!$B$2:$B$491,$A84,SIGAF!$K$2:$K$491)</f>
        <v>18275</v>
      </c>
      <c r="L84" s="142">
        <f t="shared" si="27"/>
        <v>1.8275E-2</v>
      </c>
      <c r="M84" s="13">
        <f>SUMIF(SIGAF!$B$2:$B$491,$A84,SIGAF!$L$2:$L$491)</f>
        <v>18275</v>
      </c>
      <c r="N84" s="66">
        <f t="shared" si="24"/>
        <v>1.8275E-2</v>
      </c>
      <c r="O84" s="85">
        <f>SUMIF(SIGAF!$B$2:$B$491,$A84,SIGAF!$M$2:$M$491)</f>
        <v>981725</v>
      </c>
      <c r="P84" s="66">
        <f t="shared" si="25"/>
        <v>0.98172499999999996</v>
      </c>
      <c r="Q84" s="13">
        <f>SUMIF(SIGAF!$B$2:$B$491,$A84,SIGAF!$N$2:$N$491)</f>
        <v>981725</v>
      </c>
      <c r="R84" s="66">
        <f t="shared" si="26"/>
        <v>0.98172499999999996</v>
      </c>
    </row>
    <row r="85" spans="1:18" x14ac:dyDescent="0.25">
      <c r="A85" s="11" t="s">
        <v>337</v>
      </c>
      <c r="B85" s="11" t="s">
        <v>458</v>
      </c>
      <c r="C85" s="13">
        <f>SUMIF(SIGAF!$B$2:$B$491,$A85,SIGAF!$F$2:$F$491)</f>
        <v>471056885</v>
      </c>
      <c r="D85" s="13">
        <f>SUMIF(SIGAF!$B$2:$B$491,$A85,SIGAF!$G$2:$G$491)</f>
        <v>471056885</v>
      </c>
      <c r="E85" s="13">
        <f>SUMIF(SIGAF!$B$2:$B$491,$A85,SIGAF!$H$2:$H$491)</f>
        <v>0</v>
      </c>
      <c r="F85" s="66">
        <f t="shared" si="22"/>
        <v>0</v>
      </c>
      <c r="G85" s="132">
        <f>SUMIF(SIGAF!$B$2:$B$491,$A85,SIGAF!$I$2:$I$491)</f>
        <v>29474619.219999999</v>
      </c>
      <c r="H85" s="66">
        <f t="shared" si="23"/>
        <v>6.2571252344608017E-2</v>
      </c>
      <c r="I85" s="13">
        <f>SUMIF(SIGAF!$B$2:$B$491,$A85,SIGAF!$J$2:$J$491)</f>
        <v>0</v>
      </c>
      <c r="J85" s="66">
        <f t="shared" si="23"/>
        <v>0</v>
      </c>
      <c r="K85" s="13">
        <f>SUMIF(SIGAF!$B$2:$B$491,$A85,SIGAF!$K$2:$K$491)</f>
        <v>377038953.25</v>
      </c>
      <c r="L85" s="142">
        <f t="shared" si="27"/>
        <v>0.80041066218573576</v>
      </c>
      <c r="M85" s="13">
        <f>SUMIF(SIGAF!$B$2:$B$491,$A85,SIGAF!$L$2:$L$491)</f>
        <v>109829465.85000001</v>
      </c>
      <c r="N85" s="66">
        <f t="shared" si="24"/>
        <v>0.23315541996589226</v>
      </c>
      <c r="O85" s="85">
        <f>SUMIF(SIGAF!$B$2:$B$491,$A85,SIGAF!$M$2:$M$491)</f>
        <v>64543312.530000001</v>
      </c>
      <c r="P85" s="66">
        <f t="shared" si="25"/>
        <v>0.13701808546965619</v>
      </c>
      <c r="Q85" s="13">
        <f>SUMIF(SIGAF!$B$2:$B$491,$A85,SIGAF!$N$2:$N$491)</f>
        <v>64543312.530000001</v>
      </c>
      <c r="R85" s="66">
        <f t="shared" si="26"/>
        <v>0.13701808546965619</v>
      </c>
    </row>
    <row r="86" spans="1:18" x14ac:dyDescent="0.25">
      <c r="A86" s="11" t="s">
        <v>156</v>
      </c>
      <c r="B86" s="11" t="s">
        <v>459</v>
      </c>
      <c r="C86" s="13">
        <f>SUMIF(SIGAF!$B$2:$B$491,$A86,SIGAF!$F$2:$F$491)</f>
        <v>0</v>
      </c>
      <c r="D86" s="13">
        <f>SUMIF(SIGAF!$B$2:$B$491,$A86,SIGAF!$G$2:$G$491)</f>
        <v>0</v>
      </c>
      <c r="E86" s="13">
        <f>SUMIF(SIGAF!$B$2:$B$491,$A86,SIGAF!$H$2:$H$491)</f>
        <v>0</v>
      </c>
      <c r="F86" s="66">
        <f t="shared" si="22"/>
        <v>0</v>
      </c>
      <c r="G86" s="132">
        <f>SUMIF(SIGAF!$B$2:$B$491,$A86,SIGAF!$I$2:$I$491)</f>
        <v>0</v>
      </c>
      <c r="H86" s="66">
        <f t="shared" si="23"/>
        <v>0</v>
      </c>
      <c r="I86" s="13">
        <f>SUMIF(SIGAF!$B$2:$B$491,$A86,SIGAF!$J$2:$J$491)</f>
        <v>0</v>
      </c>
      <c r="J86" s="66">
        <f t="shared" si="23"/>
        <v>0</v>
      </c>
      <c r="K86" s="13">
        <f>SUMIF(SIGAF!$B$2:$B$491,$A86,SIGAF!$K$2:$K$491)</f>
        <v>0</v>
      </c>
      <c r="L86" s="142">
        <f t="shared" si="27"/>
        <v>0</v>
      </c>
      <c r="M86" s="13">
        <f>SUMIF(SIGAF!$B$2:$B$491,$A86,SIGAF!$L$2:$L$491)</f>
        <v>0</v>
      </c>
      <c r="N86" s="66">
        <f t="shared" si="24"/>
        <v>0</v>
      </c>
      <c r="O86" s="85">
        <f>SUMIF(SIGAF!$B$2:$B$491,$A86,SIGAF!$M$2:$M$491)</f>
        <v>0</v>
      </c>
      <c r="P86" s="66">
        <f t="shared" si="25"/>
        <v>0</v>
      </c>
      <c r="Q86" s="13">
        <f>SUMIF(SIGAF!$B$2:$B$491,$A86,SIGAF!$N$2:$N$491)</f>
        <v>0</v>
      </c>
      <c r="R86" s="66">
        <f t="shared" si="26"/>
        <v>0</v>
      </c>
    </row>
    <row r="87" spans="1:18" x14ac:dyDescent="0.25">
      <c r="A87" s="11" t="s">
        <v>339</v>
      </c>
      <c r="B87" s="11" t="s">
        <v>460</v>
      </c>
      <c r="C87" s="13">
        <f>SUMIF(SIGAF!$B$2:$B$491,$A87,SIGAF!$F$2:$F$491)</f>
        <v>0</v>
      </c>
      <c r="D87" s="13">
        <f>SUMIF(SIGAF!$B$2:$B$491,$A87,SIGAF!$G$2:$G$491)</f>
        <v>0</v>
      </c>
      <c r="E87" s="13">
        <f>SUMIF(SIGAF!$B$2:$B$491,$A87,SIGAF!$H$2:$H$491)</f>
        <v>0</v>
      </c>
      <c r="F87" s="66">
        <f t="shared" si="22"/>
        <v>0</v>
      </c>
      <c r="G87" s="132">
        <f>SUMIF(SIGAF!$B$2:$B$491,$A87,SIGAF!$I$2:$I$491)</f>
        <v>0</v>
      </c>
      <c r="H87" s="66">
        <f t="shared" si="23"/>
        <v>0</v>
      </c>
      <c r="I87" s="13">
        <f>SUMIF(SIGAF!$B$2:$B$491,$A87,SIGAF!$J$2:$J$491)</f>
        <v>0</v>
      </c>
      <c r="J87" s="66">
        <f t="shared" si="23"/>
        <v>0</v>
      </c>
      <c r="K87" s="13">
        <f>SUMIF(SIGAF!$B$2:$B$491,$A87,SIGAF!$K$2:$K$491)</f>
        <v>0</v>
      </c>
      <c r="L87" s="142">
        <f t="shared" si="27"/>
        <v>0</v>
      </c>
      <c r="M87" s="13">
        <f>SUMIF(SIGAF!$B$2:$B$491,$A87,SIGAF!$L$2:$L$491)</f>
        <v>0</v>
      </c>
      <c r="N87" s="66">
        <f t="shared" si="24"/>
        <v>0</v>
      </c>
      <c r="O87" s="85">
        <f>SUMIF(SIGAF!$B$2:$B$491,$A87,SIGAF!$M$2:$M$491)</f>
        <v>0</v>
      </c>
      <c r="P87" s="66">
        <f t="shared" si="25"/>
        <v>0</v>
      </c>
      <c r="Q87" s="13">
        <f>SUMIF(SIGAF!$B$2:$B$491,$A87,SIGAF!$N$2:$N$491)</f>
        <v>0</v>
      </c>
      <c r="R87" s="66">
        <f t="shared" si="26"/>
        <v>0</v>
      </c>
    </row>
    <row r="88" spans="1:18" x14ac:dyDescent="0.25">
      <c r="A88" s="11" t="s">
        <v>157</v>
      </c>
      <c r="B88" s="11" t="s">
        <v>158</v>
      </c>
      <c r="C88" s="13">
        <f>SUMIF(SIGAF!$B$2:$B$491,$A88,SIGAF!$F$2:$F$491)</f>
        <v>484796875</v>
      </c>
      <c r="D88" s="13">
        <f>SUMIF(SIGAF!$B$2:$B$491,$A88,SIGAF!$G$2:$G$491)</f>
        <v>484796875</v>
      </c>
      <c r="E88" s="13">
        <f>SUMIF(SIGAF!$B$2:$B$491,$A88,SIGAF!$H$2:$H$491)</f>
        <v>0</v>
      </c>
      <c r="F88" s="66">
        <f t="shared" si="22"/>
        <v>0</v>
      </c>
      <c r="G88" s="132">
        <f>SUMIF(SIGAF!$B$2:$B$491,$A88,SIGAF!$I$2:$I$491)</f>
        <v>23772267.810000002</v>
      </c>
      <c r="H88" s="66">
        <f t="shared" si="23"/>
        <v>4.9035521959583592E-2</v>
      </c>
      <c r="I88" s="13">
        <f>SUMIF(SIGAF!$B$2:$B$491,$A88,SIGAF!$J$2:$J$491)</f>
        <v>0</v>
      </c>
      <c r="J88" s="66">
        <f t="shared" si="23"/>
        <v>0</v>
      </c>
      <c r="K88" s="13">
        <f>SUMIF(SIGAF!$B$2:$B$491,$A88,SIGAF!$K$2:$K$491)</f>
        <v>404633171.73000002</v>
      </c>
      <c r="L88" s="142">
        <f t="shared" si="27"/>
        <v>0.83464476071550586</v>
      </c>
      <c r="M88" s="13">
        <f>SUMIF(SIGAF!$B$2:$B$491,$A88,SIGAF!$L$2:$L$491)</f>
        <v>331438710.07999998</v>
      </c>
      <c r="N88" s="66">
        <f t="shared" si="24"/>
        <v>0.68366511248654394</v>
      </c>
      <c r="O88" s="85">
        <f>SUMIF(SIGAF!$B$2:$B$491,$A88,SIGAF!$M$2:$M$491)</f>
        <v>56391435.459999993</v>
      </c>
      <c r="P88" s="66">
        <f t="shared" si="25"/>
        <v>0.11631971732491055</v>
      </c>
      <c r="Q88" s="13">
        <f>SUMIF(SIGAF!$B$2:$B$491,$A88,SIGAF!$N$2:$N$491)</f>
        <v>56391435.459999993</v>
      </c>
      <c r="R88" s="66">
        <f t="shared" si="26"/>
        <v>0.11631971732491055</v>
      </c>
    </row>
    <row r="89" spans="1:18" x14ac:dyDescent="0.25">
      <c r="A89" s="11" t="s">
        <v>159</v>
      </c>
      <c r="B89" s="11" t="s">
        <v>461</v>
      </c>
      <c r="C89" s="13">
        <f>SUMIF(SIGAF!$B$2:$B$491,$A89,SIGAF!$F$2:$F$491)</f>
        <v>101925333</v>
      </c>
      <c r="D89" s="13">
        <f>SUMIF(SIGAF!$B$2:$B$491,$A89,SIGAF!$G$2:$G$491)</f>
        <v>101925333</v>
      </c>
      <c r="E89" s="13">
        <f>SUMIF(SIGAF!$B$2:$B$491,$A89,SIGAF!$H$2:$H$491)</f>
        <v>0</v>
      </c>
      <c r="F89" s="66">
        <f t="shared" si="22"/>
        <v>0</v>
      </c>
      <c r="G89" s="132">
        <f>SUMIF(SIGAF!$B$2:$B$491,$A89,SIGAF!$I$2:$I$491)</f>
        <v>9283534.9399999995</v>
      </c>
      <c r="H89" s="66">
        <f t="shared" si="23"/>
        <v>9.108172293143256E-2</v>
      </c>
      <c r="I89" s="13">
        <f>SUMIF(SIGAF!$B$2:$B$491,$A89,SIGAF!$J$2:$J$491)</f>
        <v>0</v>
      </c>
      <c r="J89" s="66">
        <f t="shared" si="23"/>
        <v>0</v>
      </c>
      <c r="K89" s="13">
        <f>SUMIF(SIGAF!$B$2:$B$491,$A89,SIGAF!$K$2:$K$491)</f>
        <v>40639185.100000001</v>
      </c>
      <c r="L89" s="142">
        <f t="shared" si="27"/>
        <v>0.39871525462663931</v>
      </c>
      <c r="M89" s="13">
        <f>SUMIF(SIGAF!$B$2:$B$491,$A89,SIGAF!$L$2:$L$491)</f>
        <v>36418330.170000002</v>
      </c>
      <c r="N89" s="66">
        <f t="shared" si="24"/>
        <v>0.35730400969109416</v>
      </c>
      <c r="O89" s="85">
        <f>SUMIF(SIGAF!$B$2:$B$491,$A89,SIGAF!$M$2:$M$491)</f>
        <v>52002612.960000001</v>
      </c>
      <c r="P89" s="66">
        <f t="shared" si="25"/>
        <v>0.51020302244192817</v>
      </c>
      <c r="Q89" s="13">
        <f>SUMIF(SIGAF!$B$2:$B$491,$A89,SIGAF!$N$2:$N$491)</f>
        <v>52002612.960000001</v>
      </c>
      <c r="R89" s="66">
        <f t="shared" si="26"/>
        <v>0.51020302244192817</v>
      </c>
    </row>
    <row r="90" spans="1:18" x14ac:dyDescent="0.25">
      <c r="A90" s="11" t="s">
        <v>161</v>
      </c>
      <c r="B90" s="11" t="s">
        <v>462</v>
      </c>
      <c r="C90" s="13">
        <f>SUMIF(SIGAF!$B$2:$B$491,$A90,SIGAF!$F$2:$F$491)</f>
        <v>234621038.31999999</v>
      </c>
      <c r="D90" s="13">
        <f>SUMIF(SIGAF!$B$2:$B$491,$A90,SIGAF!$G$2:$G$491)</f>
        <v>234621038.31999999</v>
      </c>
      <c r="E90" s="13">
        <f>SUMIF(SIGAF!$B$2:$B$491,$A90,SIGAF!$H$2:$H$491)</f>
        <v>0</v>
      </c>
      <c r="F90" s="66">
        <f t="shared" si="22"/>
        <v>0</v>
      </c>
      <c r="G90" s="132">
        <f>SUMIF(SIGAF!$B$2:$B$491,$A90,SIGAF!$I$2:$I$491)</f>
        <v>52939547.009999998</v>
      </c>
      <c r="H90" s="66">
        <f t="shared" si="23"/>
        <v>0.22563853347966037</v>
      </c>
      <c r="I90" s="13">
        <f>SUMIF(SIGAF!$B$2:$B$491,$A90,SIGAF!$J$2:$J$491)</f>
        <v>0</v>
      </c>
      <c r="J90" s="66">
        <f t="shared" si="23"/>
        <v>0</v>
      </c>
      <c r="K90" s="13">
        <f>SUMIF(SIGAF!$B$2:$B$491,$A90,SIGAF!$K$2:$K$491)</f>
        <v>160635806.28</v>
      </c>
      <c r="L90" s="142">
        <f t="shared" si="27"/>
        <v>0.68466070830744763</v>
      </c>
      <c r="M90" s="13">
        <f>SUMIF(SIGAF!$B$2:$B$491,$A90,SIGAF!$L$2:$L$491)</f>
        <v>160574086.28</v>
      </c>
      <c r="N90" s="66">
        <f t="shared" si="24"/>
        <v>0.68439764579420526</v>
      </c>
      <c r="O90" s="85">
        <f>SUMIF(SIGAF!$B$2:$B$491,$A90,SIGAF!$M$2:$M$491)</f>
        <v>21045685.030000001</v>
      </c>
      <c r="P90" s="66">
        <f t="shared" si="25"/>
        <v>8.9700758212892057E-2</v>
      </c>
      <c r="Q90" s="13">
        <f>SUMIF(SIGAF!$B$2:$B$491,$A90,SIGAF!$N$2:$N$491)</f>
        <v>21045685.030000001</v>
      </c>
      <c r="R90" s="66">
        <f t="shared" si="26"/>
        <v>8.9700758212892057E-2</v>
      </c>
    </row>
    <row r="91" spans="1:18" x14ac:dyDescent="0.25">
      <c r="A91" s="11" t="s">
        <v>163</v>
      </c>
      <c r="B91" s="11" t="s">
        <v>463</v>
      </c>
      <c r="C91" s="13">
        <f>SUMIF(SIGAF!$B$2:$B$491,$A91,SIGAF!$F$2:$F$491)</f>
        <v>10868000</v>
      </c>
      <c r="D91" s="13">
        <f>SUMIF(SIGAF!$B$2:$B$491,$A91,SIGAF!$G$2:$G$491)</f>
        <v>10868000</v>
      </c>
      <c r="E91" s="13">
        <f>SUMIF(SIGAF!$B$2:$B$491,$A91,SIGAF!$H$2:$H$491)</f>
        <v>0</v>
      </c>
      <c r="F91" s="66">
        <f t="shared" si="22"/>
        <v>0</v>
      </c>
      <c r="G91" s="132">
        <f>SUMIF(SIGAF!$B$2:$B$491,$A91,SIGAF!$I$2:$I$491)</f>
        <v>3025710</v>
      </c>
      <c r="H91" s="66">
        <f t="shared" si="23"/>
        <v>0.27840541037909461</v>
      </c>
      <c r="I91" s="13">
        <f>SUMIF(SIGAF!$B$2:$B$491,$A91,SIGAF!$J$2:$J$491)</f>
        <v>0</v>
      </c>
      <c r="J91" s="66">
        <f t="shared" si="23"/>
        <v>0</v>
      </c>
      <c r="K91" s="13">
        <f>SUMIF(SIGAF!$B$2:$B$491,$A91,SIGAF!$K$2:$K$491)</f>
        <v>7102555</v>
      </c>
      <c r="L91" s="142">
        <f t="shared" si="27"/>
        <v>0.65352916820022078</v>
      </c>
      <c r="M91" s="13">
        <f>SUMIF(SIGAF!$B$2:$B$491,$A91,SIGAF!$L$2:$L$491)</f>
        <v>7092635</v>
      </c>
      <c r="N91" s="66">
        <f t="shared" si="24"/>
        <v>0.65261639676113359</v>
      </c>
      <c r="O91" s="85">
        <f>SUMIF(SIGAF!$B$2:$B$491,$A91,SIGAF!$M$2:$M$491)</f>
        <v>739735</v>
      </c>
      <c r="P91" s="66">
        <f t="shared" si="25"/>
        <v>6.8065421420684585E-2</v>
      </c>
      <c r="Q91" s="13">
        <f>SUMIF(SIGAF!$B$2:$B$491,$A91,SIGAF!$N$2:$N$491)</f>
        <v>739735</v>
      </c>
      <c r="R91" s="66">
        <f t="shared" si="26"/>
        <v>6.8065421420684585E-2</v>
      </c>
    </row>
    <row r="92" spans="1:18" x14ac:dyDescent="0.25">
      <c r="A92" s="11" t="s">
        <v>165</v>
      </c>
      <c r="B92" s="11" t="s">
        <v>464</v>
      </c>
      <c r="C92" s="13">
        <f>SUMIF(SIGAF!$B$2:$B$491,$A92,SIGAF!$F$2:$F$491)</f>
        <v>200488600</v>
      </c>
      <c r="D92" s="13">
        <f>SUMIF(SIGAF!$B$2:$B$491,$A92,SIGAF!$G$2:$G$491)</f>
        <v>200488600</v>
      </c>
      <c r="E92" s="13">
        <f>SUMIF(SIGAF!$B$2:$B$491,$A92,SIGAF!$H$2:$H$491)</f>
        <v>0</v>
      </c>
      <c r="F92" s="66">
        <f t="shared" si="22"/>
        <v>0</v>
      </c>
      <c r="G92" s="132">
        <f>SUMIF(SIGAF!$B$2:$B$491,$A92,SIGAF!$I$2:$I$491)</f>
        <v>49192180</v>
      </c>
      <c r="H92" s="66">
        <f t="shared" si="23"/>
        <v>0.24536148189971899</v>
      </c>
      <c r="I92" s="13">
        <f>SUMIF(SIGAF!$B$2:$B$491,$A92,SIGAF!$J$2:$J$491)</f>
        <v>0</v>
      </c>
      <c r="J92" s="66">
        <f t="shared" si="23"/>
        <v>0</v>
      </c>
      <c r="K92" s="13">
        <f>SUMIF(SIGAF!$B$2:$B$491,$A92,SIGAF!$K$2:$K$491)</f>
        <v>138271295</v>
      </c>
      <c r="L92" s="142">
        <f t="shared" si="27"/>
        <v>0.68967160726345533</v>
      </c>
      <c r="M92" s="13">
        <f>SUMIF(SIGAF!$B$2:$B$491,$A92,SIGAF!$L$2:$L$491)</f>
        <v>138219495</v>
      </c>
      <c r="N92" s="66">
        <f t="shared" si="24"/>
        <v>0.68941323845844604</v>
      </c>
      <c r="O92" s="85">
        <f>SUMIF(SIGAF!$B$2:$B$491,$A92,SIGAF!$M$2:$M$491)</f>
        <v>13025125</v>
      </c>
      <c r="P92" s="66">
        <f t="shared" si="25"/>
        <v>6.4966910836825639E-2</v>
      </c>
      <c r="Q92" s="13">
        <f>SUMIF(SIGAF!$B$2:$B$491,$A92,SIGAF!$N$2:$N$491)</f>
        <v>13025125</v>
      </c>
      <c r="R92" s="66">
        <f t="shared" si="26"/>
        <v>6.4966910836825639E-2</v>
      </c>
    </row>
    <row r="93" spans="1:18" x14ac:dyDescent="0.25">
      <c r="A93" s="11" t="s">
        <v>167</v>
      </c>
      <c r="B93" s="11" t="s">
        <v>465</v>
      </c>
      <c r="C93" s="13">
        <f>SUMIF(SIGAF!$B$2:$B$491,$A93,SIGAF!$F$2:$F$491)</f>
        <v>9070123.0199999996</v>
      </c>
      <c r="D93" s="13">
        <f>SUMIF(SIGAF!$B$2:$B$491,$A93,SIGAF!$G$2:$G$491)</f>
        <v>9070123.0199999996</v>
      </c>
      <c r="E93" s="13">
        <f>SUMIF(SIGAF!$B$2:$B$491,$A93,SIGAF!$H$2:$H$491)</f>
        <v>0</v>
      </c>
      <c r="F93" s="66">
        <f t="shared" si="22"/>
        <v>0</v>
      </c>
      <c r="G93" s="132">
        <f>SUMIF(SIGAF!$B$2:$B$491,$A93,SIGAF!$I$2:$I$491)</f>
        <v>147093</v>
      </c>
      <c r="H93" s="66">
        <f t="shared" si="23"/>
        <v>1.6217310357936027E-2</v>
      </c>
      <c r="I93" s="13">
        <f>SUMIF(SIGAF!$B$2:$B$491,$A93,SIGAF!$J$2:$J$491)</f>
        <v>0</v>
      </c>
      <c r="J93" s="66">
        <f t="shared" si="23"/>
        <v>0</v>
      </c>
      <c r="K93" s="13">
        <f>SUMIF(SIGAF!$B$2:$B$491,$A93,SIGAF!$K$2:$K$491)</f>
        <v>6050980.4500000002</v>
      </c>
      <c r="L93" s="142">
        <f t="shared" si="27"/>
        <v>0.66713322814446241</v>
      </c>
      <c r="M93" s="13">
        <f>SUMIF(SIGAF!$B$2:$B$491,$A93,SIGAF!$L$2:$L$491)</f>
        <v>6050980.4500000002</v>
      </c>
      <c r="N93" s="66">
        <f t="shared" si="24"/>
        <v>0.66713322814446241</v>
      </c>
      <c r="O93" s="85">
        <f>SUMIF(SIGAF!$B$2:$B$491,$A93,SIGAF!$M$2:$M$491)</f>
        <v>2872049.57</v>
      </c>
      <c r="P93" s="66">
        <f t="shared" si="25"/>
        <v>0.31664946149760159</v>
      </c>
      <c r="Q93" s="13">
        <f>SUMIF(SIGAF!$B$2:$B$491,$A93,SIGAF!$N$2:$N$491)</f>
        <v>2872049.57</v>
      </c>
      <c r="R93" s="66">
        <f t="shared" si="26"/>
        <v>0.31664946149760159</v>
      </c>
    </row>
    <row r="94" spans="1:18" x14ac:dyDescent="0.25">
      <c r="A94" s="11" t="s">
        <v>169</v>
      </c>
      <c r="B94" s="11" t="s">
        <v>466</v>
      </c>
      <c r="C94" s="13">
        <f>SUMIF(SIGAF!$B$2:$B$491,$A94,SIGAF!$F$2:$F$491)</f>
        <v>14194315.300000001</v>
      </c>
      <c r="D94" s="13">
        <f>SUMIF(SIGAF!$B$2:$B$491,$A94,SIGAF!$G$2:$G$491)</f>
        <v>14194315.300000001</v>
      </c>
      <c r="E94" s="13">
        <f>SUMIF(SIGAF!$B$2:$B$491,$A94,SIGAF!$H$2:$H$491)</f>
        <v>0</v>
      </c>
      <c r="F94" s="66">
        <f t="shared" si="22"/>
        <v>0</v>
      </c>
      <c r="G94" s="132">
        <f>SUMIF(SIGAF!$B$2:$B$491,$A94,SIGAF!$I$2:$I$491)</f>
        <v>574564.01</v>
      </c>
      <c r="H94" s="66">
        <f t="shared" si="23"/>
        <v>4.0478459006754626E-2</v>
      </c>
      <c r="I94" s="13">
        <f>SUMIF(SIGAF!$B$2:$B$491,$A94,SIGAF!$J$2:$J$491)</f>
        <v>0</v>
      </c>
      <c r="J94" s="66">
        <f t="shared" si="23"/>
        <v>0</v>
      </c>
      <c r="K94" s="13">
        <f>SUMIF(SIGAF!$B$2:$B$491,$A94,SIGAF!$K$2:$K$491)</f>
        <v>9210975.8300000001</v>
      </c>
      <c r="L94" s="142">
        <f t="shared" si="27"/>
        <v>0.64892005252271656</v>
      </c>
      <c r="M94" s="13">
        <f>SUMIF(SIGAF!$B$2:$B$491,$A94,SIGAF!$L$2:$L$491)</f>
        <v>9210975.8300000001</v>
      </c>
      <c r="N94" s="66">
        <f t="shared" si="24"/>
        <v>0.64892005252271656</v>
      </c>
      <c r="O94" s="85">
        <f>SUMIF(SIGAF!$B$2:$B$491,$A94,SIGAF!$M$2:$M$491)</f>
        <v>4408775.46</v>
      </c>
      <c r="P94" s="66">
        <f t="shared" si="25"/>
        <v>0.31060148847052876</v>
      </c>
      <c r="Q94" s="13">
        <f>SUMIF(SIGAF!$B$2:$B$491,$A94,SIGAF!$N$2:$N$491)</f>
        <v>4408775.46</v>
      </c>
      <c r="R94" s="66">
        <f t="shared" si="26"/>
        <v>0.31060148847052876</v>
      </c>
    </row>
    <row r="95" spans="1:18" x14ac:dyDescent="0.25">
      <c r="A95" s="11" t="s">
        <v>171</v>
      </c>
      <c r="B95" s="11" t="s">
        <v>467</v>
      </c>
      <c r="C95" s="13">
        <f>SUMIF(SIGAF!$B$2:$B$491,$A95,SIGAF!$F$2:$F$491)</f>
        <v>1566930000</v>
      </c>
      <c r="D95" s="13">
        <f>SUMIF(SIGAF!$B$2:$B$491,$A95,SIGAF!$G$2:$G$491)</f>
        <v>1566930000</v>
      </c>
      <c r="E95" s="13">
        <f>SUMIF(SIGAF!$B$2:$B$491,$A95,SIGAF!$H$2:$H$491)</f>
        <v>0</v>
      </c>
      <c r="F95" s="66">
        <f t="shared" si="22"/>
        <v>0</v>
      </c>
      <c r="G95" s="132">
        <f>SUMIF(SIGAF!$B$2:$B$491,$A95,SIGAF!$I$2:$I$491)</f>
        <v>164799979</v>
      </c>
      <c r="H95" s="66">
        <f t="shared" si="23"/>
        <v>0.10517379780845347</v>
      </c>
      <c r="I95" s="13">
        <f>SUMIF(SIGAF!$B$2:$B$491,$A95,SIGAF!$J$2:$J$491)</f>
        <v>0</v>
      </c>
      <c r="J95" s="66">
        <f t="shared" si="23"/>
        <v>0</v>
      </c>
      <c r="K95" s="13">
        <f>SUMIF(SIGAF!$B$2:$B$491,$A95,SIGAF!$K$2:$K$491)</f>
        <v>1177305996.5999999</v>
      </c>
      <c r="L95" s="142">
        <f t="shared" si="27"/>
        <v>0.7513456227144798</v>
      </c>
      <c r="M95" s="13">
        <f>SUMIF(SIGAF!$B$2:$B$491,$A95,SIGAF!$L$2:$L$491)</f>
        <v>1105434980.5999999</v>
      </c>
      <c r="N95" s="66">
        <f t="shared" si="24"/>
        <v>0.70547821574671488</v>
      </c>
      <c r="O95" s="85">
        <f>SUMIF(SIGAF!$B$2:$B$491,$A95,SIGAF!$M$2:$M$491)</f>
        <v>224824024.40000001</v>
      </c>
      <c r="P95" s="66">
        <f t="shared" si="25"/>
        <v>0.14348057947706663</v>
      </c>
      <c r="Q95" s="13">
        <f>SUMIF(SIGAF!$B$2:$B$491,$A95,SIGAF!$N$2:$N$491)</f>
        <v>224824024.40000001</v>
      </c>
      <c r="R95" s="66">
        <f t="shared" si="26"/>
        <v>0.14348057947706663</v>
      </c>
    </row>
    <row r="96" spans="1:18" x14ac:dyDescent="0.25">
      <c r="A96" s="11" t="s">
        <v>173</v>
      </c>
      <c r="B96" s="11" t="s">
        <v>174</v>
      </c>
      <c r="C96" s="13">
        <f>SUMIF(SIGAF!$B$2:$B$491,$A96,SIGAF!$F$2:$F$491)</f>
        <v>1566930000</v>
      </c>
      <c r="D96" s="13">
        <f>SUMIF(SIGAF!$B$2:$B$491,$A96,SIGAF!$G$2:$G$491)</f>
        <v>1566930000</v>
      </c>
      <c r="E96" s="13">
        <f>SUMIF(SIGAF!$B$2:$B$491,$A96,SIGAF!$H$2:$H$491)</f>
        <v>0</v>
      </c>
      <c r="F96" s="66">
        <f t="shared" si="22"/>
        <v>0</v>
      </c>
      <c r="G96" s="132">
        <f>SUMIF(SIGAF!$B$2:$B$491,$A96,SIGAF!$I$2:$I$491)</f>
        <v>164799979</v>
      </c>
      <c r="H96" s="66">
        <f t="shared" si="23"/>
        <v>0.10517379780845347</v>
      </c>
      <c r="I96" s="13">
        <f>SUMIF(SIGAF!$B$2:$B$491,$A96,SIGAF!$J$2:$J$491)</f>
        <v>0</v>
      </c>
      <c r="J96" s="66">
        <f t="shared" si="23"/>
        <v>0</v>
      </c>
      <c r="K96" s="13">
        <f>SUMIF(SIGAF!$B$2:$B$491,$A96,SIGAF!$K$2:$K$491)</f>
        <v>1177305996.5999999</v>
      </c>
      <c r="L96" s="142">
        <f t="shared" si="27"/>
        <v>0.7513456227144798</v>
      </c>
      <c r="M96" s="13">
        <f>SUMIF(SIGAF!$B$2:$B$491,$A96,SIGAF!$L$2:$L$491)</f>
        <v>1105434980.5999999</v>
      </c>
      <c r="N96" s="66">
        <f t="shared" si="24"/>
        <v>0.70547821574671488</v>
      </c>
      <c r="O96" s="85">
        <f>SUMIF(SIGAF!$B$2:$B$491,$A96,SIGAF!$M$2:$M$491)</f>
        <v>224824024.40000001</v>
      </c>
      <c r="P96" s="66">
        <f t="shared" si="25"/>
        <v>0.14348057947706663</v>
      </c>
      <c r="Q96" s="13">
        <f>SUMIF(SIGAF!$B$2:$B$491,$A96,SIGAF!$N$2:$N$491)</f>
        <v>224824024.40000001</v>
      </c>
      <c r="R96" s="66">
        <f t="shared" si="26"/>
        <v>0.14348057947706663</v>
      </c>
    </row>
    <row r="97" spans="1:18" x14ac:dyDescent="0.25">
      <c r="A97" s="11" t="s">
        <v>579</v>
      </c>
      <c r="B97" s="11" t="s">
        <v>580</v>
      </c>
      <c r="C97" s="13">
        <f>SUMIF(SIGAF!$B$2:$B$491,$A97,SIGAF!$F$2:$F$491)</f>
        <v>0</v>
      </c>
      <c r="D97" s="13">
        <f>SUMIF(SIGAF!$B$2:$B$491,$A97,SIGAF!$G$2:$G$491)</f>
        <v>0</v>
      </c>
      <c r="E97" s="13">
        <f>SUMIF(SIGAF!$B$2:$B$491,$A97,SIGAF!$H$2:$H$491)</f>
        <v>0</v>
      </c>
      <c r="F97" s="66">
        <f t="shared" ref="F97" si="28">+IFERROR(+E97/$C97,0)</f>
        <v>0</v>
      </c>
      <c r="G97" s="132">
        <f>SUMIF(SIGAF!$B$2:$B$491,$A97,SIGAF!$I$2:$I$491)</f>
        <v>0</v>
      </c>
      <c r="H97" s="66">
        <f t="shared" ref="H97" si="29">+IFERROR(+G97/$C97,0)</f>
        <v>0</v>
      </c>
      <c r="I97" s="13">
        <f>SUMIF(SIGAF!$B$2:$B$491,$A97,SIGAF!$J$2:$J$491)</f>
        <v>0</v>
      </c>
      <c r="J97" s="66">
        <f t="shared" ref="J97" si="30">+IFERROR(+I97/$C97,0)</f>
        <v>0</v>
      </c>
      <c r="K97" s="13">
        <f>SUMIF(SIGAF!$B$2:$B$491,$A97,SIGAF!$K$2:$K$491)</f>
        <v>0</v>
      </c>
      <c r="L97" s="142">
        <f t="shared" ref="L97" si="31">+IFERROR(+K97/$C97,0)</f>
        <v>0</v>
      </c>
      <c r="M97" s="13">
        <f>SUMIF(SIGAF!$B$2:$B$491,$A97,SIGAF!$L$2:$L$491)</f>
        <v>0</v>
      </c>
      <c r="N97" s="66">
        <f t="shared" ref="N97" si="32">+IFERROR(+M97/$C97,0)</f>
        <v>0</v>
      </c>
      <c r="O97" s="85">
        <f>SUMIF(SIGAF!$B$2:$B$491,$A97,SIGAF!$M$2:$M$491)</f>
        <v>0</v>
      </c>
      <c r="P97" s="66">
        <f t="shared" ref="P97" si="33">+IFERROR(+O97/$C97,0)</f>
        <v>0</v>
      </c>
      <c r="Q97" s="13">
        <f>SUMIF(SIGAF!$B$2:$B$491,$A97,SIGAF!$N$2:$N$491)</f>
        <v>0</v>
      </c>
      <c r="R97" s="66">
        <f t="shared" ref="R97" si="34">+IFERROR(+Q97/$C97,0)</f>
        <v>0</v>
      </c>
    </row>
    <row r="98" spans="1:18" x14ac:dyDescent="0.25">
      <c r="A98" s="11" t="s">
        <v>175</v>
      </c>
      <c r="B98" s="11" t="s">
        <v>468</v>
      </c>
      <c r="C98" s="13">
        <f>SUMIF(SIGAF!$B$2:$B$491,$A98,SIGAF!$F$2:$F$491)</f>
        <v>26838000</v>
      </c>
      <c r="D98" s="13">
        <f>SUMIF(SIGAF!$B$2:$B$491,$A98,SIGAF!$G$2:$G$491)</f>
        <v>26838000</v>
      </c>
      <c r="E98" s="13">
        <f>SUMIF(SIGAF!$B$2:$B$491,$A98,SIGAF!$H$2:$H$491)</f>
        <v>0</v>
      </c>
      <c r="F98" s="66">
        <f t="shared" si="22"/>
        <v>0</v>
      </c>
      <c r="G98" s="132">
        <f>SUMIF(SIGAF!$B$2:$B$491,$A98,SIGAF!$I$2:$I$491)</f>
        <v>152162.79999999999</v>
      </c>
      <c r="H98" s="66">
        <f t="shared" si="23"/>
        <v>5.6696773231984495E-3</v>
      </c>
      <c r="I98" s="13">
        <f>SUMIF(SIGAF!$B$2:$B$491,$A98,SIGAF!$J$2:$J$491)</f>
        <v>0</v>
      </c>
      <c r="J98" s="66">
        <f t="shared" si="23"/>
        <v>0</v>
      </c>
      <c r="K98" s="13">
        <f>SUMIF(SIGAF!$B$2:$B$491,$A98,SIGAF!$K$2:$K$491)</f>
        <v>25378839.059999999</v>
      </c>
      <c r="L98" s="142">
        <f t="shared" si="27"/>
        <v>0.94563078694388547</v>
      </c>
      <c r="M98" s="13">
        <f>SUMIF(SIGAF!$B$2:$B$491,$A98,SIGAF!$L$2:$L$491)</f>
        <v>17666365.969999999</v>
      </c>
      <c r="N98" s="66">
        <f t="shared" si="24"/>
        <v>0.65825940718384379</v>
      </c>
      <c r="O98" s="85">
        <f>SUMIF(SIGAF!$B$2:$B$491,$A98,SIGAF!$M$2:$M$491)</f>
        <v>1306998.1399999999</v>
      </c>
      <c r="P98" s="66">
        <f t="shared" si="25"/>
        <v>4.8699535732916008E-2</v>
      </c>
      <c r="Q98" s="13">
        <f>SUMIF(SIGAF!$B$2:$B$491,$A98,SIGAF!$N$2:$N$491)</f>
        <v>1306998.1399999999</v>
      </c>
      <c r="R98" s="66">
        <f t="shared" si="26"/>
        <v>4.8699535732916008E-2</v>
      </c>
    </row>
    <row r="99" spans="1:18" x14ac:dyDescent="0.25">
      <c r="A99" s="11" t="s">
        <v>316</v>
      </c>
      <c r="B99" s="11" t="s">
        <v>469</v>
      </c>
      <c r="C99" s="13">
        <f>SUMIF(SIGAF!$B$2:$B$491,$A99,SIGAF!$F$2:$F$491)</f>
        <v>24366000</v>
      </c>
      <c r="D99" s="13">
        <f>SUMIF(SIGAF!$B$2:$B$491,$A99,SIGAF!$G$2:$G$491)</f>
        <v>24366000</v>
      </c>
      <c r="E99" s="13">
        <f>SUMIF(SIGAF!$B$2:$B$491,$A99,SIGAF!$H$2:$H$491)</f>
        <v>0</v>
      </c>
      <c r="F99" s="66">
        <f t="shared" si="22"/>
        <v>0</v>
      </c>
      <c r="G99" s="132">
        <f>SUMIF(SIGAF!$B$2:$B$491,$A99,SIGAF!$I$2:$I$491)</f>
        <v>52162.8</v>
      </c>
      <c r="H99" s="66">
        <f t="shared" si="23"/>
        <v>2.1408027579413939E-3</v>
      </c>
      <c r="I99" s="13">
        <f>SUMIF(SIGAF!$B$2:$B$491,$A99,SIGAF!$J$2:$J$491)</f>
        <v>0</v>
      </c>
      <c r="J99" s="66">
        <f t="shared" si="23"/>
        <v>0</v>
      </c>
      <c r="K99" s="13">
        <f>SUMIF(SIGAF!$B$2:$B$491,$A99,SIGAF!$K$2:$K$491)</f>
        <v>24221161</v>
      </c>
      <c r="L99" s="142">
        <f t="shared" si="27"/>
        <v>0.99405569235820401</v>
      </c>
      <c r="M99" s="13">
        <f>SUMIF(SIGAF!$B$2:$B$491,$A99,SIGAF!$L$2:$L$491)</f>
        <v>16882461</v>
      </c>
      <c r="N99" s="66">
        <f t="shared" si="24"/>
        <v>0.69286961339571529</v>
      </c>
      <c r="O99" s="85">
        <f>SUMIF(SIGAF!$B$2:$B$491,$A99,SIGAF!$M$2:$M$491)</f>
        <v>92676.2</v>
      </c>
      <c r="P99" s="66">
        <f t="shared" si="25"/>
        <v>3.8035048838545513E-3</v>
      </c>
      <c r="Q99" s="13">
        <f>SUMIF(SIGAF!$B$2:$B$491,$A99,SIGAF!$N$2:$N$491)</f>
        <v>92676.2</v>
      </c>
      <c r="R99" s="66">
        <f t="shared" si="26"/>
        <v>3.8035048838545513E-3</v>
      </c>
    </row>
    <row r="100" spans="1:18" x14ac:dyDescent="0.25">
      <c r="A100" s="11" t="s">
        <v>177</v>
      </c>
      <c r="B100" s="11" t="s">
        <v>470</v>
      </c>
      <c r="C100" s="13">
        <f>SUMIF(SIGAF!$B$2:$B$491,$A100,SIGAF!$F$2:$F$491)</f>
        <v>1872000</v>
      </c>
      <c r="D100" s="13">
        <f>SUMIF(SIGAF!$B$2:$B$491,$A100,SIGAF!$G$2:$G$491)</f>
        <v>1872000</v>
      </c>
      <c r="E100" s="13">
        <f>SUMIF(SIGAF!$B$2:$B$491,$A100,SIGAF!$H$2:$H$491)</f>
        <v>0</v>
      </c>
      <c r="F100" s="66">
        <f t="shared" si="22"/>
        <v>0</v>
      </c>
      <c r="G100" s="132">
        <f>SUMIF(SIGAF!$B$2:$B$491,$A100,SIGAF!$I$2:$I$491)</f>
        <v>0</v>
      </c>
      <c r="H100" s="66">
        <f t="shared" si="23"/>
        <v>0</v>
      </c>
      <c r="I100" s="13">
        <f>SUMIF(SIGAF!$B$2:$B$491,$A100,SIGAF!$J$2:$J$491)</f>
        <v>0</v>
      </c>
      <c r="J100" s="66">
        <f t="shared" si="23"/>
        <v>0</v>
      </c>
      <c r="K100" s="13">
        <f>SUMIF(SIGAF!$B$2:$B$491,$A100,SIGAF!$K$2:$K$491)</f>
        <v>972813.09</v>
      </c>
      <c r="L100" s="142">
        <f t="shared" si="27"/>
        <v>0.51966511217948719</v>
      </c>
      <c r="M100" s="13">
        <f>SUMIF(SIGAF!$B$2:$B$491,$A100,SIGAF!$L$2:$L$491)</f>
        <v>599040</v>
      </c>
      <c r="N100" s="66">
        <f t="shared" si="24"/>
        <v>0.32</v>
      </c>
      <c r="O100" s="85">
        <f>SUMIF(SIGAF!$B$2:$B$491,$A100,SIGAF!$M$2:$M$491)</f>
        <v>899186.91</v>
      </c>
      <c r="P100" s="66">
        <f t="shared" si="25"/>
        <v>0.48033488782051281</v>
      </c>
      <c r="Q100" s="13">
        <f>SUMIF(SIGAF!$B$2:$B$491,$A100,SIGAF!$N$2:$N$491)</f>
        <v>899186.91</v>
      </c>
      <c r="R100" s="66">
        <f t="shared" si="26"/>
        <v>0.48033488782051281</v>
      </c>
    </row>
    <row r="101" spans="1:18" x14ac:dyDescent="0.25">
      <c r="A101" s="11" t="s">
        <v>179</v>
      </c>
      <c r="B101" s="11" t="s">
        <v>471</v>
      </c>
      <c r="C101" s="13">
        <f>SUMIF(SIGAF!$B$2:$B$491,$A101,SIGAF!$F$2:$F$491)</f>
        <v>600000</v>
      </c>
      <c r="D101" s="13">
        <f>SUMIF(SIGAF!$B$2:$B$491,$A101,SIGAF!$G$2:$G$491)</f>
        <v>600000</v>
      </c>
      <c r="E101" s="13">
        <f>SUMIF(SIGAF!$B$2:$B$491,$A101,SIGAF!$H$2:$H$491)</f>
        <v>0</v>
      </c>
      <c r="F101" s="66">
        <f t="shared" si="22"/>
        <v>0</v>
      </c>
      <c r="G101" s="132">
        <f>SUMIF(SIGAF!$B$2:$B$491,$A101,SIGAF!$I$2:$I$491)</f>
        <v>100000</v>
      </c>
      <c r="H101" s="66">
        <f t="shared" si="23"/>
        <v>0.16666666666666666</v>
      </c>
      <c r="I101" s="13">
        <f>SUMIF(SIGAF!$B$2:$B$491,$A101,SIGAF!$J$2:$J$491)</f>
        <v>0</v>
      </c>
      <c r="J101" s="66">
        <f t="shared" si="23"/>
        <v>0</v>
      </c>
      <c r="K101" s="13">
        <f>SUMIF(SIGAF!$B$2:$B$491,$A101,SIGAF!$K$2:$K$491)</f>
        <v>184864.97</v>
      </c>
      <c r="L101" s="142">
        <f t="shared" si="27"/>
        <v>0.30810828333333334</v>
      </c>
      <c r="M101" s="13">
        <f>SUMIF(SIGAF!$B$2:$B$491,$A101,SIGAF!$L$2:$L$491)</f>
        <v>184864.97</v>
      </c>
      <c r="N101" s="66">
        <f t="shared" si="24"/>
        <v>0.30810828333333334</v>
      </c>
      <c r="O101" s="85">
        <f>SUMIF(SIGAF!$B$2:$B$491,$A101,SIGAF!$M$2:$M$491)</f>
        <v>315135.03000000003</v>
      </c>
      <c r="P101" s="66">
        <f t="shared" si="25"/>
        <v>0.52522505000000008</v>
      </c>
      <c r="Q101" s="13">
        <f>SUMIF(SIGAF!$B$2:$B$491,$A101,SIGAF!$N$2:$N$491)</f>
        <v>315135.03000000003</v>
      </c>
      <c r="R101" s="66">
        <f t="shared" si="26"/>
        <v>0.52522505000000008</v>
      </c>
    </row>
    <row r="102" spans="1:18" x14ac:dyDescent="0.25">
      <c r="A102" s="11" t="s">
        <v>181</v>
      </c>
      <c r="B102" s="11" t="s">
        <v>472</v>
      </c>
      <c r="C102" s="13">
        <f>SUMIF(SIGAF!$B$2:$B$491,$A102,SIGAF!$F$2:$F$491)</f>
        <v>941850575</v>
      </c>
      <c r="D102" s="13">
        <f>SUMIF(SIGAF!$B$2:$B$491,$A102,SIGAF!$G$2:$G$491)</f>
        <v>941850575</v>
      </c>
      <c r="E102" s="13">
        <f>SUMIF(SIGAF!$B$2:$B$491,$A102,SIGAF!$H$2:$H$491)</f>
        <v>0</v>
      </c>
      <c r="F102" s="66">
        <f t="shared" si="22"/>
        <v>0</v>
      </c>
      <c r="G102" s="13">
        <f>SUMIF(SIGAF!$B$2:$B$491,$A102,SIGAF!$I$2:$I$491)</f>
        <v>256059845.31</v>
      </c>
      <c r="H102" s="66">
        <f t="shared" si="23"/>
        <v>0.27186886339162664</v>
      </c>
      <c r="I102" s="13">
        <f>SUMIF(SIGAF!$B$2:$B$491,$A102,SIGAF!$J$2:$J$491)</f>
        <v>0</v>
      </c>
      <c r="J102" s="66">
        <f t="shared" si="23"/>
        <v>0</v>
      </c>
      <c r="K102" s="13">
        <f>SUMIF(SIGAF!$B$2:$B$491,$A102,SIGAF!$K$2:$K$491)</f>
        <v>504575688.84000003</v>
      </c>
      <c r="L102" s="142">
        <f t="shared" si="27"/>
        <v>0.5357279617735542</v>
      </c>
      <c r="M102" s="13">
        <f>SUMIF(SIGAF!$B$2:$B$491,$A102,SIGAF!$L$2:$L$491)</f>
        <v>376424687.23000002</v>
      </c>
      <c r="N102" s="66">
        <f t="shared" si="24"/>
        <v>0.39966497576327331</v>
      </c>
      <c r="O102" s="85">
        <f>SUMIF(SIGAF!$B$2:$B$491,$A102,SIGAF!$M$2:$M$491)</f>
        <v>181215040.85000002</v>
      </c>
      <c r="P102" s="66">
        <f t="shared" si="25"/>
        <v>0.19240317483481922</v>
      </c>
      <c r="Q102" s="13">
        <f>SUMIF(SIGAF!$B$2:$B$491,$A102,SIGAF!$N$2:$N$491)</f>
        <v>181215040.85000002</v>
      </c>
      <c r="R102" s="66">
        <f t="shared" si="26"/>
        <v>0.19240317483481922</v>
      </c>
    </row>
    <row r="103" spans="1:18" x14ac:dyDescent="0.25">
      <c r="A103" s="11" t="s">
        <v>183</v>
      </c>
      <c r="B103" s="11" t="s">
        <v>473</v>
      </c>
      <c r="C103" s="13">
        <f>SUMIF(SIGAF!$B$2:$B$491,$A103,SIGAF!$F$2:$F$491)</f>
        <v>128087087</v>
      </c>
      <c r="D103" s="13">
        <f>SUMIF(SIGAF!$B$2:$B$491,$A103,SIGAF!$G$2:$G$491)</f>
        <v>128087087</v>
      </c>
      <c r="E103" s="13">
        <f>SUMIF(SIGAF!$B$2:$B$491,$A103,SIGAF!$H$2:$H$491)</f>
        <v>0</v>
      </c>
      <c r="F103" s="66">
        <f t="shared" si="22"/>
        <v>0</v>
      </c>
      <c r="G103" s="13">
        <f>SUMIF(SIGAF!$B$2:$B$491,$A103,SIGAF!$I$2:$I$491)</f>
        <v>3649549.85</v>
      </c>
      <c r="H103" s="66">
        <f t="shared" si="23"/>
        <v>2.8492722689524512E-2</v>
      </c>
      <c r="I103" s="13">
        <f>SUMIF(SIGAF!$B$2:$B$491,$A103,SIGAF!$J$2:$J$491)</f>
        <v>0</v>
      </c>
      <c r="J103" s="66">
        <f t="shared" si="23"/>
        <v>0</v>
      </c>
      <c r="K103" s="13">
        <f>SUMIF(SIGAF!$B$2:$B$491,$A103,SIGAF!$K$2:$K$491)</f>
        <v>11839958.9</v>
      </c>
      <c r="L103" s="142">
        <f t="shared" si="27"/>
        <v>9.243678794881173E-2</v>
      </c>
      <c r="M103" s="13">
        <f>SUMIF(SIGAF!$B$2:$B$491,$A103,SIGAF!$L$2:$L$491)</f>
        <v>3162303.39</v>
      </c>
      <c r="N103" s="66">
        <f t="shared" si="24"/>
        <v>2.468869785445273E-2</v>
      </c>
      <c r="O103" s="85">
        <f>SUMIF(SIGAF!$B$2:$B$491,$A103,SIGAF!$M$2:$M$491)</f>
        <v>112597578.25</v>
      </c>
      <c r="P103" s="66">
        <f t="shared" si="25"/>
        <v>0.87907048936166376</v>
      </c>
      <c r="Q103" s="13">
        <f>SUMIF(SIGAF!$B$2:$B$491,$A103,SIGAF!$N$2:$N$491)</f>
        <v>112597578.25</v>
      </c>
      <c r="R103" s="66">
        <f t="shared" si="26"/>
        <v>0.87907048936166376</v>
      </c>
    </row>
    <row r="104" spans="1:18" x14ac:dyDescent="0.25">
      <c r="A104" s="11" t="s">
        <v>341</v>
      </c>
      <c r="B104" s="11" t="s">
        <v>474</v>
      </c>
      <c r="C104" s="13">
        <f>SUMIF(SIGAF!$B$2:$B$491,$A104,SIGAF!$F$2:$F$491)</f>
        <v>331910642</v>
      </c>
      <c r="D104" s="13">
        <f>SUMIF(SIGAF!$B$2:$B$491,$A104,SIGAF!$G$2:$G$491)</f>
        <v>331910642</v>
      </c>
      <c r="E104" s="13">
        <f>SUMIF(SIGAF!$B$2:$B$491,$A104,SIGAF!$H$2:$H$491)</f>
        <v>0</v>
      </c>
      <c r="F104" s="66">
        <f t="shared" si="22"/>
        <v>0</v>
      </c>
      <c r="G104" s="13">
        <f>SUMIF(SIGAF!$B$2:$B$491,$A104,SIGAF!$I$2:$I$491)</f>
        <v>135135532.81</v>
      </c>
      <c r="H104" s="66">
        <f t="shared" si="23"/>
        <v>0.40714432051865335</v>
      </c>
      <c r="I104" s="13">
        <f>SUMIF(SIGAF!$B$2:$B$491,$A104,SIGAF!$J$2:$J$491)</f>
        <v>0</v>
      </c>
      <c r="J104" s="66">
        <f t="shared" si="23"/>
        <v>0</v>
      </c>
      <c r="K104" s="13">
        <f>SUMIF(SIGAF!$B$2:$B$491,$A104,SIGAF!$K$2:$K$491)</f>
        <v>195642414.66000003</v>
      </c>
      <c r="L104" s="142">
        <f t="shared" si="27"/>
        <v>0.5894430304527567</v>
      </c>
      <c r="M104" s="13">
        <f>SUMIF(SIGAF!$B$2:$B$491,$A104,SIGAF!$L$2:$L$491)</f>
        <v>142792351.75</v>
      </c>
      <c r="N104" s="66">
        <f t="shared" si="24"/>
        <v>0.43021323718207266</v>
      </c>
      <c r="O104" s="85">
        <f>SUMIF(SIGAF!$B$2:$B$491,$A104,SIGAF!$M$2:$M$491)</f>
        <v>1132694.5299999998</v>
      </c>
      <c r="P104" s="66">
        <f t="shared" si="25"/>
        <v>3.4126490285900498E-3</v>
      </c>
      <c r="Q104" s="13">
        <f>SUMIF(SIGAF!$B$2:$B$491,$A104,SIGAF!$N$2:$N$491)</f>
        <v>1132694.5299999998</v>
      </c>
      <c r="R104" s="66">
        <f t="shared" si="26"/>
        <v>3.4126490285900498E-3</v>
      </c>
    </row>
    <row r="105" spans="1:18" x14ac:dyDescent="0.25">
      <c r="A105" s="11" t="s">
        <v>185</v>
      </c>
      <c r="B105" s="11" t="s">
        <v>475</v>
      </c>
      <c r="C105" s="13">
        <f>SUMIF(SIGAF!$B$2:$B$491,$A105,SIGAF!$F$2:$F$491)</f>
        <v>196330000</v>
      </c>
      <c r="D105" s="13">
        <f>SUMIF(SIGAF!$B$2:$B$491,$A105,SIGAF!$G$2:$G$491)</f>
        <v>196330000</v>
      </c>
      <c r="E105" s="13">
        <f>SUMIF(SIGAF!$B$2:$B$491,$A105,SIGAF!$H$2:$H$491)</f>
        <v>0</v>
      </c>
      <c r="F105" s="66">
        <f t="shared" si="22"/>
        <v>0</v>
      </c>
      <c r="G105" s="13">
        <f>SUMIF(SIGAF!$B$2:$B$491,$A105,SIGAF!$I$2:$I$491)</f>
        <v>63159809.380000003</v>
      </c>
      <c r="H105" s="66">
        <f t="shared" si="23"/>
        <v>0.32170228380787452</v>
      </c>
      <c r="I105" s="13">
        <f>SUMIF(SIGAF!$B$2:$B$491,$A105,SIGAF!$J$2:$J$491)</f>
        <v>0</v>
      </c>
      <c r="J105" s="66">
        <f t="shared" si="23"/>
        <v>0</v>
      </c>
      <c r="K105" s="13">
        <f>SUMIF(SIGAF!$B$2:$B$491,$A105,SIGAF!$K$2:$K$491)</f>
        <v>118538946.40000001</v>
      </c>
      <c r="L105" s="142">
        <f t="shared" si="27"/>
        <v>0.60377398461773546</v>
      </c>
      <c r="M105" s="13">
        <f>SUMIF(SIGAF!$B$2:$B$491,$A105,SIGAF!$L$2:$L$491)</f>
        <v>96753155.980000004</v>
      </c>
      <c r="N105" s="66">
        <f t="shared" si="24"/>
        <v>0.49280882177965674</v>
      </c>
      <c r="O105" s="85">
        <f>SUMIF(SIGAF!$B$2:$B$491,$A105,SIGAF!$M$2:$M$491)</f>
        <v>14631244.220000001</v>
      </c>
      <c r="P105" s="66">
        <f t="shared" si="25"/>
        <v>7.4523731574390059E-2</v>
      </c>
      <c r="Q105" s="13">
        <f>SUMIF(SIGAF!$B$2:$B$491,$A105,SIGAF!$N$2:$N$491)</f>
        <v>14631244.220000001</v>
      </c>
      <c r="R105" s="66">
        <f t="shared" si="26"/>
        <v>7.4523731574390059E-2</v>
      </c>
    </row>
    <row r="106" spans="1:18" x14ac:dyDescent="0.25">
      <c r="A106" s="11" t="s">
        <v>187</v>
      </c>
      <c r="B106" s="11" t="s">
        <v>476</v>
      </c>
      <c r="C106" s="13">
        <f>SUMIF(SIGAF!$B$2:$B$491,$A106,SIGAF!$F$2:$F$491)</f>
        <v>9463000</v>
      </c>
      <c r="D106" s="13">
        <f>SUMIF(SIGAF!$B$2:$B$491,$A106,SIGAF!$G$2:$G$491)</f>
        <v>9463000</v>
      </c>
      <c r="E106" s="13">
        <f>SUMIF(SIGAF!$B$2:$B$491,$A106,SIGAF!$H$2:$H$491)</f>
        <v>0</v>
      </c>
      <c r="F106" s="66">
        <f t="shared" si="22"/>
        <v>0</v>
      </c>
      <c r="G106" s="13">
        <f>SUMIF(SIGAF!$B$2:$B$491,$A106,SIGAF!$I$2:$I$491)</f>
        <v>0</v>
      </c>
      <c r="H106" s="66">
        <f t="shared" si="23"/>
        <v>0</v>
      </c>
      <c r="I106" s="13">
        <f>SUMIF(SIGAF!$B$2:$B$491,$A106,SIGAF!$J$2:$J$491)</f>
        <v>0</v>
      </c>
      <c r="J106" s="66">
        <f t="shared" si="23"/>
        <v>0</v>
      </c>
      <c r="K106" s="13">
        <f>SUMIF(SIGAF!$B$2:$B$491,$A106,SIGAF!$K$2:$K$491)</f>
        <v>7564640.3499999996</v>
      </c>
      <c r="L106" s="142">
        <f t="shared" si="27"/>
        <v>0.79939135052308985</v>
      </c>
      <c r="M106" s="13">
        <f>SUMIF(SIGAF!$B$2:$B$491,$A106,SIGAF!$L$2:$L$491)</f>
        <v>3637184.65</v>
      </c>
      <c r="N106" s="66">
        <f t="shared" si="24"/>
        <v>0.38435851738349358</v>
      </c>
      <c r="O106" s="85">
        <f>SUMIF(SIGAF!$B$2:$B$491,$A106,SIGAF!$M$2:$M$491)</f>
        <v>1898359.65</v>
      </c>
      <c r="P106" s="66">
        <f t="shared" si="25"/>
        <v>0.20060864947691007</v>
      </c>
      <c r="Q106" s="13">
        <f>SUMIF(SIGAF!$B$2:$B$491,$A106,SIGAF!$N$2:$N$491)</f>
        <v>1898359.65</v>
      </c>
      <c r="R106" s="66">
        <f t="shared" si="26"/>
        <v>0.20060864947691007</v>
      </c>
    </row>
    <row r="107" spans="1:18" x14ac:dyDescent="0.25">
      <c r="A107" s="11" t="s">
        <v>189</v>
      </c>
      <c r="B107" s="11" t="s">
        <v>477</v>
      </c>
      <c r="C107" s="13">
        <f>SUMIF(SIGAF!$B$2:$B$491,$A107,SIGAF!$F$2:$F$491)</f>
        <v>34430759</v>
      </c>
      <c r="D107" s="13">
        <f>SUMIF(SIGAF!$B$2:$B$491,$A107,SIGAF!$G$2:$G$491)</f>
        <v>34430759</v>
      </c>
      <c r="E107" s="13">
        <f>SUMIF(SIGAF!$B$2:$B$491,$A107,SIGAF!$H$2:$H$491)</f>
        <v>0</v>
      </c>
      <c r="F107" s="66">
        <f t="shared" si="22"/>
        <v>0</v>
      </c>
      <c r="G107" s="13">
        <f>SUMIF(SIGAF!$B$2:$B$491,$A107,SIGAF!$I$2:$I$491)</f>
        <v>9750600</v>
      </c>
      <c r="H107" s="66">
        <f t="shared" si="23"/>
        <v>0.28319445412167649</v>
      </c>
      <c r="I107" s="13">
        <f>SUMIF(SIGAF!$B$2:$B$491,$A107,SIGAF!$J$2:$J$491)</f>
        <v>0</v>
      </c>
      <c r="J107" s="66">
        <f t="shared" si="23"/>
        <v>0</v>
      </c>
      <c r="K107" s="13">
        <f>SUMIF(SIGAF!$B$2:$B$491,$A107,SIGAF!$K$2:$K$491)</f>
        <v>18765253.399999999</v>
      </c>
      <c r="L107" s="142">
        <f t="shared" si="27"/>
        <v>0.545014224054718</v>
      </c>
      <c r="M107" s="13">
        <f>SUMIF(SIGAF!$B$2:$B$491,$A107,SIGAF!$L$2:$L$491)</f>
        <v>12848561.800000001</v>
      </c>
      <c r="N107" s="66">
        <f t="shared" si="24"/>
        <v>0.37317103000837132</v>
      </c>
      <c r="O107" s="85">
        <f>SUMIF(SIGAF!$B$2:$B$491,$A107,SIGAF!$M$2:$M$491)</f>
        <v>5914905.5999999996</v>
      </c>
      <c r="P107" s="66">
        <f t="shared" si="25"/>
        <v>0.17179132182360546</v>
      </c>
      <c r="Q107" s="13">
        <f>SUMIF(SIGAF!$B$2:$B$491,$A107,SIGAF!$N$2:$N$491)</f>
        <v>5914905.5999999996</v>
      </c>
      <c r="R107" s="66">
        <f t="shared" si="26"/>
        <v>0.17179132182360546</v>
      </c>
    </row>
    <row r="108" spans="1:18" x14ac:dyDescent="0.25">
      <c r="A108" s="11" t="s">
        <v>191</v>
      </c>
      <c r="B108" s="11" t="s">
        <v>478</v>
      </c>
      <c r="C108" s="13">
        <f>SUMIF(SIGAF!$B$2:$B$491,$A108,SIGAF!$F$2:$F$491)</f>
        <v>74592119</v>
      </c>
      <c r="D108" s="13">
        <f>SUMIF(SIGAF!$B$2:$B$491,$A108,SIGAF!$G$2:$G$491)</f>
        <v>74592119</v>
      </c>
      <c r="E108" s="13">
        <f>SUMIF(SIGAF!$B$2:$B$491,$A108,SIGAF!$H$2:$H$491)</f>
        <v>0</v>
      </c>
      <c r="F108" s="66">
        <f t="shared" si="22"/>
        <v>0</v>
      </c>
      <c r="G108" s="13">
        <f>SUMIF(SIGAF!$B$2:$B$491,$A108,SIGAF!$I$2:$I$491)</f>
        <v>12096474.789999999</v>
      </c>
      <c r="H108" s="66">
        <f t="shared" si="23"/>
        <v>0.16216826860757233</v>
      </c>
      <c r="I108" s="13">
        <f>SUMIF(SIGAF!$B$2:$B$491,$A108,SIGAF!$J$2:$J$491)</f>
        <v>0</v>
      </c>
      <c r="J108" s="66">
        <f t="shared" si="23"/>
        <v>0</v>
      </c>
      <c r="K108" s="13">
        <f>SUMIF(SIGAF!$B$2:$B$491,$A108,SIGAF!$K$2:$K$491)</f>
        <v>29167831.039999999</v>
      </c>
      <c r="L108" s="142">
        <f t="shared" si="27"/>
        <v>0.39103100208213687</v>
      </c>
      <c r="M108" s="13">
        <f>SUMIF(SIGAF!$B$2:$B$491,$A108,SIGAF!$L$2:$L$491)</f>
        <v>25842273.93</v>
      </c>
      <c r="N108" s="66">
        <f t="shared" si="24"/>
        <v>0.34644777861854281</v>
      </c>
      <c r="O108" s="85">
        <f>SUMIF(SIGAF!$B$2:$B$491,$A108,SIGAF!$M$2:$M$491)</f>
        <v>33327813.169999998</v>
      </c>
      <c r="P108" s="66">
        <f t="shared" si="25"/>
        <v>0.4468007293102908</v>
      </c>
      <c r="Q108" s="13">
        <f>SUMIF(SIGAF!$B$2:$B$491,$A108,SIGAF!$N$2:$N$491)</f>
        <v>33327813.169999998</v>
      </c>
      <c r="R108" s="66">
        <f t="shared" si="26"/>
        <v>0.4468007293102908</v>
      </c>
    </row>
    <row r="109" spans="1:18" x14ac:dyDescent="0.25">
      <c r="A109" s="11" t="s">
        <v>193</v>
      </c>
      <c r="B109" s="11" t="s">
        <v>479</v>
      </c>
      <c r="C109" s="13">
        <f>SUMIF(SIGAF!$B$2:$B$491,$A109,SIGAF!$F$2:$F$491)</f>
        <v>167036968</v>
      </c>
      <c r="D109" s="13">
        <f>SUMIF(SIGAF!$B$2:$B$491,$A109,SIGAF!$G$2:$G$491)</f>
        <v>167036968</v>
      </c>
      <c r="E109" s="13">
        <f>SUMIF(SIGAF!$B$2:$B$491,$A109,SIGAF!$H$2:$H$491)</f>
        <v>0</v>
      </c>
      <c r="F109" s="66">
        <f t="shared" si="22"/>
        <v>0</v>
      </c>
      <c r="G109" s="13">
        <f>SUMIF(SIGAF!$B$2:$B$491,$A109,SIGAF!$I$2:$I$491)</f>
        <v>32267878.48</v>
      </c>
      <c r="H109" s="66">
        <f t="shared" si="23"/>
        <v>0.19317806630685491</v>
      </c>
      <c r="I109" s="13">
        <f>SUMIF(SIGAF!$B$2:$B$491,$A109,SIGAF!$J$2:$J$491)</f>
        <v>0</v>
      </c>
      <c r="J109" s="66">
        <f t="shared" si="23"/>
        <v>0</v>
      </c>
      <c r="K109" s="13">
        <f>SUMIF(SIGAF!$B$2:$B$491,$A109,SIGAF!$K$2:$K$491)</f>
        <v>123056644.09</v>
      </c>
      <c r="L109" s="142">
        <f t="shared" si="27"/>
        <v>0.73670305180587337</v>
      </c>
      <c r="M109" s="13">
        <f>SUMIF(SIGAF!$B$2:$B$491,$A109,SIGAF!$L$2:$L$491)</f>
        <v>91388855.730000004</v>
      </c>
      <c r="N109" s="66">
        <f t="shared" si="24"/>
        <v>0.54711754424325998</v>
      </c>
      <c r="O109" s="85">
        <f>SUMIF(SIGAF!$B$2:$B$491,$A109,SIGAF!$M$2:$M$491)</f>
        <v>11712445.43</v>
      </c>
      <c r="P109" s="66">
        <f t="shared" si="25"/>
        <v>7.0118881887271806E-2</v>
      </c>
      <c r="Q109" s="13">
        <f>SUMIF(SIGAF!$B$2:$B$491,$A109,SIGAF!$N$2:$N$491)</f>
        <v>11712445.43</v>
      </c>
      <c r="R109" s="66">
        <f t="shared" si="26"/>
        <v>7.0118881887271806E-2</v>
      </c>
    </row>
    <row r="110" spans="1:18" x14ac:dyDescent="0.25">
      <c r="A110" s="11" t="s">
        <v>195</v>
      </c>
      <c r="B110" s="11" t="s">
        <v>196</v>
      </c>
      <c r="C110" s="13">
        <f>SUMIF(SIGAF!$B$2:$B$491,$A110,SIGAF!$F$2:$F$491)</f>
        <v>19170000</v>
      </c>
      <c r="D110" s="13">
        <f>SUMIF(SIGAF!$B$2:$B$491,$A110,SIGAF!$G$2:$G$491)</f>
        <v>19170000</v>
      </c>
      <c r="E110" s="13">
        <f>SUMIF(SIGAF!$B$2:$B$491,$A110,SIGAF!$H$2:$H$491)</f>
        <v>0</v>
      </c>
      <c r="F110" s="66">
        <f t="shared" si="22"/>
        <v>0</v>
      </c>
      <c r="G110" s="13">
        <f>SUMIF(SIGAF!$B$2:$B$491,$A110,SIGAF!$I$2:$I$491)</f>
        <v>3950323</v>
      </c>
      <c r="H110" s="66">
        <f t="shared" si="23"/>
        <v>0.2060679707876891</v>
      </c>
      <c r="I110" s="13">
        <f>SUMIF(SIGAF!$B$2:$B$491,$A110,SIGAF!$J$2:$J$491)</f>
        <v>0</v>
      </c>
      <c r="J110" s="66">
        <f t="shared" si="23"/>
        <v>0</v>
      </c>
      <c r="K110" s="13">
        <f>SUMIF(SIGAF!$B$2:$B$491,$A110,SIGAF!$K$2:$K$491)</f>
        <v>10511491</v>
      </c>
      <c r="L110" s="142">
        <f t="shared" si="27"/>
        <v>0.54833025560772042</v>
      </c>
      <c r="M110" s="13">
        <f>SUMIF(SIGAF!$B$2:$B$491,$A110,SIGAF!$L$2:$L$491)</f>
        <v>135741</v>
      </c>
      <c r="N110" s="66">
        <f t="shared" si="24"/>
        <v>7.0809076682316115E-3</v>
      </c>
      <c r="O110" s="85">
        <f>SUMIF(SIGAF!$B$2:$B$491,$A110,SIGAF!$M$2:$M$491)</f>
        <v>4708186</v>
      </c>
      <c r="P110" s="66">
        <f t="shared" si="25"/>
        <v>0.24560177360459051</v>
      </c>
      <c r="Q110" s="13">
        <f>SUMIF(SIGAF!$B$2:$B$491,$A110,SIGAF!$N$2:$N$491)</f>
        <v>4708186</v>
      </c>
      <c r="R110" s="66">
        <f t="shared" si="26"/>
        <v>0.24560177360459051</v>
      </c>
    </row>
    <row r="111" spans="1:18" x14ac:dyDescent="0.25">
      <c r="A111" s="11" t="s">
        <v>197</v>
      </c>
      <c r="B111" s="11" t="s">
        <v>480</v>
      </c>
      <c r="C111" s="13">
        <f>SUMIF(SIGAF!$B$2:$B$491,$A111,SIGAF!$F$2:$F$491)</f>
        <v>19170000</v>
      </c>
      <c r="D111" s="13">
        <f>SUMIF(SIGAF!$B$2:$B$491,$A111,SIGAF!$G$2:$G$491)</f>
        <v>19170000</v>
      </c>
      <c r="E111" s="13">
        <f>SUMIF(SIGAF!$B$2:$B$491,$A111,SIGAF!$H$2:$H$491)</f>
        <v>0</v>
      </c>
      <c r="F111" s="66">
        <f t="shared" si="22"/>
        <v>0</v>
      </c>
      <c r="G111" s="13">
        <f>SUMIF(SIGAF!$B$2:$B$491,$A111,SIGAF!$I$2:$I$491)</f>
        <v>3950323</v>
      </c>
      <c r="H111" s="66">
        <f t="shared" si="23"/>
        <v>0.2060679707876891</v>
      </c>
      <c r="I111" s="13">
        <f>SUMIF(SIGAF!$B$2:$B$491,$A111,SIGAF!$J$2:$J$491)</f>
        <v>0</v>
      </c>
      <c r="J111" s="66">
        <f t="shared" si="23"/>
        <v>0</v>
      </c>
      <c r="K111" s="13">
        <f>SUMIF(SIGAF!$B$2:$B$491,$A111,SIGAF!$K$2:$K$491)</f>
        <v>10511491</v>
      </c>
      <c r="L111" s="142">
        <f t="shared" si="27"/>
        <v>0.54833025560772042</v>
      </c>
      <c r="M111" s="13">
        <f>SUMIF(SIGAF!$B$2:$B$491,$A111,SIGAF!$L$2:$L$491)</f>
        <v>135741</v>
      </c>
      <c r="N111" s="66">
        <f t="shared" si="24"/>
        <v>7.0809076682316115E-3</v>
      </c>
      <c r="O111" s="85">
        <f>SUMIF(SIGAF!$B$2:$B$491,$A111,SIGAF!$M$2:$M$491)</f>
        <v>4708186</v>
      </c>
      <c r="P111" s="66">
        <f t="shared" si="25"/>
        <v>0.24560177360459051</v>
      </c>
      <c r="Q111" s="13">
        <f>SUMIF(SIGAF!$B$2:$B$491,$A111,SIGAF!$N$2:$N$491)</f>
        <v>4708186</v>
      </c>
      <c r="R111" s="66">
        <f t="shared" si="26"/>
        <v>0.24560177360459051</v>
      </c>
    </row>
    <row r="112" spans="1:18" x14ac:dyDescent="0.25">
      <c r="A112" s="11" t="s">
        <v>199</v>
      </c>
      <c r="B112" s="11" t="s">
        <v>200</v>
      </c>
      <c r="C112" s="13">
        <f>SUMIF(SIGAF!$B$2:$B$491,$A112,SIGAF!$F$2:$F$491)</f>
        <v>89568515</v>
      </c>
      <c r="D112" s="13">
        <f>SUMIF(SIGAF!$B$2:$B$491,$A112,SIGAF!$G$2:$G$491)</f>
        <v>89568515</v>
      </c>
      <c r="E112" s="13">
        <f>SUMIF(SIGAF!$B$2:$B$491,$A112,SIGAF!$H$2:$H$491)</f>
        <v>0</v>
      </c>
      <c r="F112" s="66">
        <f t="shared" si="22"/>
        <v>0</v>
      </c>
      <c r="G112" s="13">
        <f>SUMIF(SIGAF!$B$2:$B$491,$A112,SIGAF!$I$2:$I$491)</f>
        <v>63583572.490000002</v>
      </c>
      <c r="H112" s="66">
        <f t="shared" si="23"/>
        <v>0.70988753682027661</v>
      </c>
      <c r="I112" s="13">
        <f>SUMIF(SIGAF!$B$2:$B$491,$A112,SIGAF!$J$2:$J$491)</f>
        <v>0</v>
      </c>
      <c r="J112" s="66">
        <f t="shared" si="23"/>
        <v>0</v>
      </c>
      <c r="K112" s="13">
        <f>SUMIF(SIGAF!$B$2:$B$491,$A112,SIGAF!$K$2:$K$491)</f>
        <v>19810708.91</v>
      </c>
      <c r="L112" s="142">
        <f t="shared" si="27"/>
        <v>0.22117938329110404</v>
      </c>
      <c r="M112" s="13">
        <f>SUMIF(SIGAF!$B$2:$B$491,$A112,SIGAF!$L$2:$L$491)</f>
        <v>10116442.48</v>
      </c>
      <c r="N112" s="66">
        <f t="shared" si="24"/>
        <v>0.11294641292199609</v>
      </c>
      <c r="O112" s="85">
        <f>SUMIF(SIGAF!$B$2:$B$491,$A112,SIGAF!$M$2:$M$491)</f>
        <v>6174233.5999999996</v>
      </c>
      <c r="P112" s="66">
        <f t="shared" si="25"/>
        <v>6.8933079888619339E-2</v>
      </c>
      <c r="Q112" s="13">
        <f>SUMIF(SIGAF!$B$2:$B$491,$A112,SIGAF!$N$2:$N$491)</f>
        <v>6174233.5999999996</v>
      </c>
      <c r="R112" s="66">
        <f t="shared" si="26"/>
        <v>6.8933079888619339E-2</v>
      </c>
    </row>
    <row r="113" spans="1:19" x14ac:dyDescent="0.25">
      <c r="A113" s="11" t="s">
        <v>372</v>
      </c>
      <c r="B113" s="11" t="s">
        <v>481</v>
      </c>
      <c r="C113" s="13">
        <f>SUMIF(SIGAF!$B$2:$B$491,$A113,SIGAF!$F$2:$F$491)</f>
        <v>2268515</v>
      </c>
      <c r="D113" s="13">
        <f>SUMIF(SIGAF!$B$2:$B$491,$A113,SIGAF!$G$2:$G$491)</f>
        <v>2268515</v>
      </c>
      <c r="E113" s="13">
        <f>SUMIF(SIGAF!$B$2:$B$491,$A113,SIGAF!$H$2:$H$491)</f>
        <v>0</v>
      </c>
      <c r="F113" s="66">
        <f t="shared" si="22"/>
        <v>0</v>
      </c>
      <c r="G113" s="13">
        <f>SUMIF(SIGAF!$B$2:$B$491,$A113,SIGAF!$I$2:$I$491)</f>
        <v>466174</v>
      </c>
      <c r="H113" s="66">
        <f t="shared" si="23"/>
        <v>0.20549742893478773</v>
      </c>
      <c r="I113" s="13">
        <f>SUMIF(SIGAF!$B$2:$B$491,$A113,SIGAF!$J$2:$J$491)</f>
        <v>0</v>
      </c>
      <c r="J113" s="66">
        <f t="shared" si="23"/>
        <v>0</v>
      </c>
      <c r="K113" s="13">
        <f>SUMIF(SIGAF!$B$2:$B$491,$A113,SIGAF!$K$2:$K$491)</f>
        <v>1801841.57</v>
      </c>
      <c r="L113" s="142">
        <f t="shared" si="27"/>
        <v>0.79428241382578468</v>
      </c>
      <c r="M113" s="13">
        <f>SUMIF(SIGAF!$B$2:$B$491,$A113,SIGAF!$L$2:$L$491)</f>
        <v>624543.59</v>
      </c>
      <c r="N113" s="66">
        <f t="shared" si="24"/>
        <v>0.27530943811259789</v>
      </c>
      <c r="O113" s="85">
        <f>SUMIF(SIGAF!$B$2:$B$491,$A113,SIGAF!$M$2:$M$491)</f>
        <v>499.43</v>
      </c>
      <c r="P113" s="66">
        <f t="shared" si="25"/>
        <v>2.2015723942755503E-4</v>
      </c>
      <c r="Q113" s="13">
        <f>SUMIF(SIGAF!$B$2:$B$491,$A113,SIGAF!$N$2:$N$491)</f>
        <v>499.43</v>
      </c>
      <c r="R113" s="66">
        <f t="shared" si="26"/>
        <v>2.2015723942755503E-4</v>
      </c>
    </row>
    <row r="114" spans="1:19" x14ac:dyDescent="0.25">
      <c r="A114" s="11" t="s">
        <v>343</v>
      </c>
      <c r="B114" s="11" t="s">
        <v>482</v>
      </c>
      <c r="C114" s="13">
        <f>SUMIF(SIGAF!$B$2:$B$491,$A114,SIGAF!$F$2:$F$491)</f>
        <v>54075000</v>
      </c>
      <c r="D114" s="13">
        <f>SUMIF(SIGAF!$B$2:$B$491,$A114,SIGAF!$G$2:$G$491)</f>
        <v>54075000</v>
      </c>
      <c r="E114" s="13">
        <f>SUMIF(SIGAF!$B$2:$B$491,$A114,SIGAF!$H$2:$H$491)</f>
        <v>0</v>
      </c>
      <c r="F114" s="66">
        <f t="shared" si="22"/>
        <v>0</v>
      </c>
      <c r="G114" s="13">
        <f>SUMIF(SIGAF!$B$2:$B$491,$A114,SIGAF!$I$2:$I$491)</f>
        <v>47279668.490000002</v>
      </c>
      <c r="H114" s="66">
        <f t="shared" si="23"/>
        <v>0.87433506222838653</v>
      </c>
      <c r="I114" s="13">
        <f>SUMIF(SIGAF!$B$2:$B$491,$A114,SIGAF!$J$2:$J$491)</f>
        <v>0</v>
      </c>
      <c r="J114" s="66">
        <f t="shared" si="23"/>
        <v>0</v>
      </c>
      <c r="K114" s="13">
        <f>SUMIF(SIGAF!$B$2:$B$491,$A114,SIGAF!$K$2:$K$491)</f>
        <v>6748867.3399999999</v>
      </c>
      <c r="L114" s="142">
        <f t="shared" si="27"/>
        <v>0.12480568358760979</v>
      </c>
      <c r="M114" s="13">
        <f>SUMIF(SIGAF!$B$2:$B$491,$A114,SIGAF!$L$2:$L$491)</f>
        <v>6531898.8899999997</v>
      </c>
      <c r="N114" s="66">
        <f t="shared" si="24"/>
        <v>0.12079332205270457</v>
      </c>
      <c r="O114" s="85">
        <f>SUMIF(SIGAF!$B$2:$B$491,$A114,SIGAF!$M$2:$M$491)</f>
        <v>46464.17</v>
      </c>
      <c r="P114" s="66">
        <f t="shared" si="25"/>
        <v>8.592541840036985E-4</v>
      </c>
      <c r="Q114" s="13">
        <f>SUMIF(SIGAF!$B$2:$B$491,$A114,SIGAF!$N$2:$N$491)</f>
        <v>46464.17</v>
      </c>
      <c r="R114" s="66">
        <f t="shared" si="26"/>
        <v>8.592541840036985E-4</v>
      </c>
    </row>
    <row r="115" spans="1:19" x14ac:dyDescent="0.25">
      <c r="A115" s="11" t="s">
        <v>201</v>
      </c>
      <c r="B115" s="11" t="s">
        <v>202</v>
      </c>
      <c r="C115" s="13">
        <f>SUMIF(SIGAF!$B$2:$B$491,$A115,SIGAF!$F$2:$F$491)</f>
        <v>33225000</v>
      </c>
      <c r="D115" s="13">
        <f>SUMIF(SIGAF!$B$2:$B$491,$A115,SIGAF!$G$2:$G$491)</f>
        <v>33225000</v>
      </c>
      <c r="E115" s="13">
        <f>SUMIF(SIGAF!$B$2:$B$491,$A115,SIGAF!$H$2:$H$491)</f>
        <v>0</v>
      </c>
      <c r="F115" s="66">
        <f t="shared" si="22"/>
        <v>0</v>
      </c>
      <c r="G115" s="13">
        <f>SUMIF(SIGAF!$B$2:$B$491,$A115,SIGAF!$I$2:$I$491)</f>
        <v>15837730</v>
      </c>
      <c r="H115" s="66">
        <f t="shared" si="23"/>
        <v>0.47668111361926263</v>
      </c>
      <c r="I115" s="13">
        <f>SUMIF(SIGAF!$B$2:$B$491,$A115,SIGAF!$J$2:$J$491)</f>
        <v>0</v>
      </c>
      <c r="J115" s="66">
        <f t="shared" si="23"/>
        <v>0</v>
      </c>
      <c r="K115" s="13">
        <f>SUMIF(SIGAF!$B$2:$B$491,$A115,SIGAF!$K$2:$K$491)</f>
        <v>11260000</v>
      </c>
      <c r="L115" s="142">
        <f t="shared" si="27"/>
        <v>0.33890142964635062</v>
      </c>
      <c r="M115" s="13">
        <f>SUMIF(SIGAF!$B$2:$B$491,$A115,SIGAF!$L$2:$L$491)</f>
        <v>2960000</v>
      </c>
      <c r="N115" s="66">
        <f t="shared" si="24"/>
        <v>8.9089541008276901E-2</v>
      </c>
      <c r="O115" s="85">
        <f>SUMIF(SIGAF!$B$2:$B$491,$A115,SIGAF!$M$2:$M$491)</f>
        <v>6127270</v>
      </c>
      <c r="P115" s="66">
        <f t="shared" si="25"/>
        <v>0.18441745673438675</v>
      </c>
      <c r="Q115" s="13">
        <f>SUMIF(SIGAF!$B$2:$B$491,$A115,SIGAF!$N$2:$N$491)</f>
        <v>6127270</v>
      </c>
      <c r="R115" s="66">
        <f t="shared" si="26"/>
        <v>0.18441745673438675</v>
      </c>
    </row>
    <row r="116" spans="1:19" s="23" customFormat="1" x14ac:dyDescent="0.25">
      <c r="A116" s="21" t="s">
        <v>203</v>
      </c>
      <c r="B116" s="21" t="s">
        <v>483</v>
      </c>
      <c r="C116" s="35">
        <f>SUMIF(SIGAF!$B$2:$B$491,$A116,SIGAF!$F$2:$F$491)</f>
        <v>15431160767.51</v>
      </c>
      <c r="D116" s="35">
        <f>SUMIF(SIGAF!$B$2:$B$491,$A116,SIGAF!$G$2:$G$491)</f>
        <v>15431160767.51</v>
      </c>
      <c r="E116" s="35">
        <f>SUMIF(SIGAF!$B$2:$B$491,$A116,SIGAF!$H$2:$H$491)</f>
        <v>0</v>
      </c>
      <c r="F116" s="65">
        <f t="shared" si="22"/>
        <v>0</v>
      </c>
      <c r="G116" s="35">
        <f>SUMIF(SIGAF!$B$2:$B$491,$A116,SIGAF!$I$2:$I$491)</f>
        <v>1203945855.76</v>
      </c>
      <c r="H116" s="65">
        <f t="shared" si="23"/>
        <v>7.8020433711952761E-2</v>
      </c>
      <c r="I116" s="35">
        <f>SUMIF(SIGAF!$B$2:$B$491,$A116,SIGAF!$J$2:$J$491)</f>
        <v>0</v>
      </c>
      <c r="J116" s="65">
        <f t="shared" si="23"/>
        <v>0</v>
      </c>
      <c r="K116" s="35">
        <f>SUMIF(SIGAF!$B$2:$B$491,$A116,SIGAF!$K$2:$K$491)</f>
        <v>13707288427.529999</v>
      </c>
      <c r="L116" s="141">
        <f t="shared" si="27"/>
        <v>0.88828628215645444</v>
      </c>
      <c r="M116" s="35">
        <f>SUMIF(SIGAF!$B$2:$B$491,$A116,SIGAF!$L$2:$L$491)</f>
        <v>11784756332.280001</v>
      </c>
      <c r="N116" s="65">
        <f t="shared" si="24"/>
        <v>0.76369862966450131</v>
      </c>
      <c r="O116" s="86">
        <f>SUMIF(SIGAF!$B$2:$B$491,$A116,SIGAF!$M$2:$M$491)</f>
        <v>519926484.21999997</v>
      </c>
      <c r="P116" s="65">
        <f t="shared" si="25"/>
        <v>3.3693284131592664E-2</v>
      </c>
      <c r="Q116" s="35">
        <f>SUMIF(SIGAF!$B$2:$B$491,$A116,SIGAF!$N$2:$N$491)</f>
        <v>519926484.21999997</v>
      </c>
      <c r="R116" s="65">
        <f t="shared" si="26"/>
        <v>3.3693284131592664E-2</v>
      </c>
      <c r="S116" s="130"/>
    </row>
    <row r="117" spans="1:19" x14ac:dyDescent="0.25">
      <c r="A117" s="11" t="s">
        <v>205</v>
      </c>
      <c r="B117" s="11" t="s">
        <v>484</v>
      </c>
      <c r="C117" s="13">
        <f>SUMIF(SIGAF!$B$2:$B$491,$A117,SIGAF!$F$2:$F$491)</f>
        <v>956362475</v>
      </c>
      <c r="D117" s="13">
        <f>SUMIF(SIGAF!$B$2:$B$491,$A117,SIGAF!$G$2:$G$491)</f>
        <v>956362475</v>
      </c>
      <c r="E117" s="13">
        <f>SUMIF(SIGAF!$B$2:$B$491,$A117,SIGAF!$H$2:$H$491)</f>
        <v>0</v>
      </c>
      <c r="F117" s="66">
        <f t="shared" si="22"/>
        <v>0</v>
      </c>
      <c r="G117" s="13">
        <f>SUMIF(SIGAF!$B$2:$B$491,$A117,SIGAF!$I$2:$I$491)</f>
        <v>64843031.799999997</v>
      </c>
      <c r="H117" s="66">
        <f t="shared" si="23"/>
        <v>6.7801731555809944E-2</v>
      </c>
      <c r="I117" s="13">
        <f>SUMIF(SIGAF!$B$2:$B$491,$A117,SIGAF!$J$2:$J$491)</f>
        <v>0</v>
      </c>
      <c r="J117" s="66">
        <f t="shared" si="23"/>
        <v>0</v>
      </c>
      <c r="K117" s="13">
        <f>SUMIF(SIGAF!$B$2:$B$491,$A117,SIGAF!$K$2:$K$491)</f>
        <v>869641842.08000004</v>
      </c>
      <c r="L117" s="142">
        <f t="shared" si="27"/>
        <v>0.90932242200322644</v>
      </c>
      <c r="M117" s="13">
        <f>SUMIF(SIGAF!$B$2:$B$491,$A117,SIGAF!$L$2:$L$491)</f>
        <v>684991965.52999997</v>
      </c>
      <c r="N117" s="66">
        <f t="shared" si="24"/>
        <v>0.71624722156732468</v>
      </c>
      <c r="O117" s="85">
        <f>SUMIF(SIGAF!$B$2:$B$491,$A117,SIGAF!$M$2:$M$491)</f>
        <v>21877601.120000001</v>
      </c>
      <c r="P117" s="66">
        <f t="shared" si="25"/>
        <v>2.2875846440963715E-2</v>
      </c>
      <c r="Q117" s="13">
        <f>SUMIF(SIGAF!$B$2:$B$491,$A117,SIGAF!$N$2:$N$491)</f>
        <v>21877601.120000001</v>
      </c>
      <c r="R117" s="66">
        <f t="shared" si="26"/>
        <v>2.2875846440963715E-2</v>
      </c>
      <c r="S117" s="131">
        <f>+S116/D10</f>
        <v>0</v>
      </c>
    </row>
    <row r="118" spans="1:19" x14ac:dyDescent="0.25">
      <c r="A118" s="11" t="s">
        <v>207</v>
      </c>
      <c r="B118" s="11" t="s">
        <v>485</v>
      </c>
      <c r="C118" s="13">
        <f>SUMIF(SIGAF!$B$2:$B$491,$A118,SIGAF!$F$2:$F$491)</f>
        <v>666637000</v>
      </c>
      <c r="D118" s="13">
        <f>SUMIF(SIGAF!$B$2:$B$491,$A118,SIGAF!$G$2:$G$491)</f>
        <v>666637000</v>
      </c>
      <c r="E118" s="13">
        <f>SUMIF(SIGAF!$B$2:$B$491,$A118,SIGAF!$H$2:$H$491)</f>
        <v>0</v>
      </c>
      <c r="F118" s="66">
        <f t="shared" si="22"/>
        <v>0</v>
      </c>
      <c r="G118" s="13">
        <f>SUMIF(SIGAF!$B$2:$B$491,$A118,SIGAF!$I$2:$I$491)</f>
        <v>63380930.799999997</v>
      </c>
      <c r="H118" s="66">
        <f t="shared" si="23"/>
        <v>9.50756270654044E-2</v>
      </c>
      <c r="I118" s="13">
        <f>SUMIF(SIGAF!$B$2:$B$491,$A118,SIGAF!$J$2:$J$491)</f>
        <v>0</v>
      </c>
      <c r="J118" s="66">
        <f t="shared" si="23"/>
        <v>0</v>
      </c>
      <c r="K118" s="13">
        <f>SUMIF(SIGAF!$B$2:$B$491,$A118,SIGAF!$K$2:$K$491)</f>
        <v>592739200.91999996</v>
      </c>
      <c r="L118" s="142">
        <f t="shared" si="27"/>
        <v>0.88914836848239742</v>
      </c>
      <c r="M118" s="13">
        <f>SUMIF(SIGAF!$B$2:$B$491,$A118,SIGAF!$L$2:$L$491)</f>
        <v>548145741.79999995</v>
      </c>
      <c r="N118" s="66">
        <f t="shared" si="24"/>
        <v>0.82225520305653599</v>
      </c>
      <c r="O118" s="85">
        <f>SUMIF(SIGAF!$B$2:$B$491,$A118,SIGAF!$M$2:$M$491)</f>
        <v>10516868.280000001</v>
      </c>
      <c r="P118" s="66">
        <f t="shared" si="25"/>
        <v>1.5776004452198126E-2</v>
      </c>
      <c r="Q118" s="13">
        <f>SUMIF(SIGAF!$B$2:$B$491,$A118,SIGAF!$N$2:$N$491)</f>
        <v>10516868.280000001</v>
      </c>
      <c r="R118" s="66">
        <f t="shared" si="26"/>
        <v>1.5776004452198126E-2</v>
      </c>
    </row>
    <row r="119" spans="1:19" x14ac:dyDescent="0.25">
      <c r="A119" s="11" t="s">
        <v>209</v>
      </c>
      <c r="B119" s="11" t="s">
        <v>486</v>
      </c>
      <c r="C119" s="13">
        <f>SUMIF(SIGAF!$B$2:$B$491,$A119,SIGAF!$F$2:$F$491)</f>
        <v>210891180</v>
      </c>
      <c r="D119" s="13">
        <f>SUMIF(SIGAF!$B$2:$B$491,$A119,SIGAF!$G$2:$G$491)</f>
        <v>210891180</v>
      </c>
      <c r="E119" s="13">
        <f>SUMIF(SIGAF!$B$2:$B$491,$A119,SIGAF!$H$2:$H$491)</f>
        <v>0</v>
      </c>
      <c r="F119" s="66">
        <f t="shared" si="22"/>
        <v>0</v>
      </c>
      <c r="G119" s="13">
        <f>SUMIF(SIGAF!$B$2:$B$491,$A119,SIGAF!$I$2:$I$491)</f>
        <v>820600</v>
      </c>
      <c r="H119" s="66">
        <f t="shared" si="23"/>
        <v>3.8911063042086445E-3</v>
      </c>
      <c r="I119" s="13">
        <f>SUMIF(SIGAF!$B$2:$B$491,$A119,SIGAF!$J$2:$J$491)</f>
        <v>0</v>
      </c>
      <c r="J119" s="66">
        <f t="shared" si="23"/>
        <v>0</v>
      </c>
      <c r="K119" s="13">
        <f>SUMIF(SIGAF!$B$2:$B$491,$A119,SIGAF!$K$2:$K$491)</f>
        <v>208802485</v>
      </c>
      <c r="L119" s="142">
        <f t="shared" si="27"/>
        <v>0.99009586365821467</v>
      </c>
      <c r="M119" s="13">
        <f>SUMIF(SIGAF!$B$2:$B$491,$A119,SIGAF!$L$2:$L$491)</f>
        <v>73154885</v>
      </c>
      <c r="N119" s="66">
        <f t="shared" si="24"/>
        <v>0.34688451646010043</v>
      </c>
      <c r="O119" s="85">
        <f>SUMIF(SIGAF!$B$2:$B$491,$A119,SIGAF!$M$2:$M$491)</f>
        <v>1268095</v>
      </c>
      <c r="P119" s="66">
        <f t="shared" si="25"/>
        <v>6.0130300375767255E-3</v>
      </c>
      <c r="Q119" s="13">
        <f>SUMIF(SIGAF!$B$2:$B$491,$A119,SIGAF!$N$2:$N$491)</f>
        <v>1268095</v>
      </c>
      <c r="R119" s="66">
        <f t="shared" si="26"/>
        <v>6.0130300375767255E-3</v>
      </c>
    </row>
    <row r="120" spans="1:19" x14ac:dyDescent="0.25">
      <c r="A120" s="11" t="s">
        <v>374</v>
      </c>
      <c r="B120" s="11" t="s">
        <v>487</v>
      </c>
      <c r="C120" s="13">
        <f>SUMIF(SIGAF!$B$2:$B$491,$A120,SIGAF!$F$2:$F$491)</f>
        <v>5824000</v>
      </c>
      <c r="D120" s="13">
        <f>SUMIF(SIGAF!$B$2:$B$491,$A120,SIGAF!$G$2:$G$491)</f>
        <v>5824000</v>
      </c>
      <c r="E120" s="13">
        <f>SUMIF(SIGAF!$B$2:$B$491,$A120,SIGAF!$H$2:$H$491)</f>
        <v>0</v>
      </c>
      <c r="F120" s="66">
        <f t="shared" si="22"/>
        <v>0</v>
      </c>
      <c r="G120" s="13">
        <f>SUMIF(SIGAF!$B$2:$B$491,$A120,SIGAF!$I$2:$I$491)</f>
        <v>20771</v>
      </c>
      <c r="H120" s="66">
        <f t="shared" si="23"/>
        <v>3.5664491758241757E-3</v>
      </c>
      <c r="I120" s="13">
        <f>SUMIF(SIGAF!$B$2:$B$491,$A120,SIGAF!$J$2:$J$491)</f>
        <v>0</v>
      </c>
      <c r="J120" s="66">
        <f t="shared" si="23"/>
        <v>0</v>
      </c>
      <c r="K120" s="13">
        <f>SUMIF(SIGAF!$B$2:$B$491,$A120,SIGAF!$K$2:$K$491)</f>
        <v>279229</v>
      </c>
      <c r="L120" s="142">
        <f t="shared" si="27"/>
        <v>4.7944539835164834E-2</v>
      </c>
      <c r="M120" s="13">
        <f>SUMIF(SIGAF!$B$2:$B$491,$A120,SIGAF!$L$2:$L$491)</f>
        <v>279229</v>
      </c>
      <c r="N120" s="66">
        <f t="shared" si="24"/>
        <v>4.7944539835164834E-2</v>
      </c>
      <c r="O120" s="85">
        <f>SUMIF(SIGAF!$B$2:$B$491,$A120,SIGAF!$M$2:$M$491)</f>
        <v>5524000</v>
      </c>
      <c r="P120" s="66">
        <f t="shared" si="25"/>
        <v>0.94848901098901095</v>
      </c>
      <c r="Q120" s="13">
        <f>SUMIF(SIGAF!$B$2:$B$491,$A120,SIGAF!$N$2:$N$491)</f>
        <v>5524000</v>
      </c>
      <c r="R120" s="66">
        <f t="shared" si="26"/>
        <v>0.94848901098901095</v>
      </c>
    </row>
    <row r="121" spans="1:19" x14ac:dyDescent="0.25">
      <c r="A121" s="11" t="s">
        <v>211</v>
      </c>
      <c r="B121" s="11" t="s">
        <v>488</v>
      </c>
      <c r="C121" s="13">
        <f>SUMIF(SIGAF!$B$2:$B$491,$A121,SIGAF!$F$2:$F$491)</f>
        <v>59415400</v>
      </c>
      <c r="D121" s="13">
        <f>SUMIF(SIGAF!$B$2:$B$491,$A121,SIGAF!$G$2:$G$491)</f>
        <v>59415400</v>
      </c>
      <c r="E121" s="13">
        <f>SUMIF(SIGAF!$B$2:$B$491,$A121,SIGAF!$H$2:$H$491)</f>
        <v>0</v>
      </c>
      <c r="F121" s="66">
        <f t="shared" si="22"/>
        <v>0</v>
      </c>
      <c r="G121" s="13">
        <f>SUMIF(SIGAF!$B$2:$B$491,$A121,SIGAF!$I$2:$I$491)</f>
        <v>620730</v>
      </c>
      <c r="H121" s="66">
        <f t="shared" si="23"/>
        <v>1.0447291442959233E-2</v>
      </c>
      <c r="I121" s="13">
        <f>SUMIF(SIGAF!$B$2:$B$491,$A121,SIGAF!$J$2:$J$491)</f>
        <v>0</v>
      </c>
      <c r="J121" s="66">
        <f t="shared" si="23"/>
        <v>0</v>
      </c>
      <c r="K121" s="13">
        <f>SUMIF(SIGAF!$B$2:$B$491,$A121,SIGAF!$K$2:$K$491)</f>
        <v>56311187.159999996</v>
      </c>
      <c r="L121" s="142">
        <f t="shared" si="27"/>
        <v>0.94775406982028221</v>
      </c>
      <c r="M121" s="13">
        <f>SUMIF(SIGAF!$B$2:$B$491,$A121,SIGAF!$L$2:$L$491)</f>
        <v>54446869.730000004</v>
      </c>
      <c r="N121" s="66">
        <f t="shared" si="24"/>
        <v>0.91637638945458588</v>
      </c>
      <c r="O121" s="85">
        <f>SUMIF(SIGAF!$B$2:$B$491,$A121,SIGAF!$M$2:$M$491)</f>
        <v>2483482.84</v>
      </c>
      <c r="P121" s="66">
        <f t="shared" si="25"/>
        <v>4.179863873675848E-2</v>
      </c>
      <c r="Q121" s="13">
        <f>SUMIF(SIGAF!$B$2:$B$491,$A121,SIGAF!$N$2:$N$491)</f>
        <v>2483482.84</v>
      </c>
      <c r="R121" s="66">
        <f t="shared" si="26"/>
        <v>4.179863873675848E-2</v>
      </c>
    </row>
    <row r="122" spans="1:19" x14ac:dyDescent="0.25">
      <c r="A122" s="11" t="s">
        <v>213</v>
      </c>
      <c r="B122" s="11" t="s">
        <v>489</v>
      </c>
      <c r="C122" s="13">
        <f>SUMIF(SIGAF!$B$2:$B$491,$A122,SIGAF!$F$2:$F$491)</f>
        <v>13594895</v>
      </c>
      <c r="D122" s="13">
        <f>SUMIF(SIGAF!$B$2:$B$491,$A122,SIGAF!$G$2:$G$491)</f>
        <v>13594895</v>
      </c>
      <c r="E122" s="13">
        <f>SUMIF(SIGAF!$B$2:$B$491,$A122,SIGAF!$H$2:$H$491)</f>
        <v>0</v>
      </c>
      <c r="F122" s="66">
        <f t="shared" si="22"/>
        <v>0</v>
      </c>
      <c r="G122" s="13">
        <f>SUMIF(SIGAF!$B$2:$B$491,$A122,SIGAF!$I$2:$I$491)</f>
        <v>0</v>
      </c>
      <c r="H122" s="66">
        <f t="shared" si="23"/>
        <v>0</v>
      </c>
      <c r="I122" s="13">
        <f>SUMIF(SIGAF!$B$2:$B$491,$A122,SIGAF!$J$2:$J$491)</f>
        <v>0</v>
      </c>
      <c r="J122" s="66">
        <f t="shared" si="23"/>
        <v>0</v>
      </c>
      <c r="K122" s="13">
        <f>SUMIF(SIGAF!$B$2:$B$491,$A122,SIGAF!$K$2:$K$491)</f>
        <v>11509740</v>
      </c>
      <c r="L122" s="142">
        <f t="shared" si="27"/>
        <v>0.84662220635025132</v>
      </c>
      <c r="M122" s="13">
        <f>SUMIF(SIGAF!$B$2:$B$491,$A122,SIGAF!$L$2:$L$491)</f>
        <v>8965240</v>
      </c>
      <c r="N122" s="66">
        <f t="shared" si="24"/>
        <v>0.65945636211239589</v>
      </c>
      <c r="O122" s="85">
        <f>SUMIF(SIGAF!$B$2:$B$491,$A122,SIGAF!$M$2:$M$491)</f>
        <v>2085155</v>
      </c>
      <c r="P122" s="66">
        <f t="shared" si="25"/>
        <v>0.15337779364974868</v>
      </c>
      <c r="Q122" s="13">
        <f>SUMIF(SIGAF!$B$2:$B$491,$A122,SIGAF!$N$2:$N$491)</f>
        <v>2085155</v>
      </c>
      <c r="R122" s="66">
        <f t="shared" si="26"/>
        <v>0.15337779364974868</v>
      </c>
    </row>
    <row r="123" spans="1:19" x14ac:dyDescent="0.25">
      <c r="A123" s="11" t="s">
        <v>215</v>
      </c>
      <c r="B123" s="11" t="s">
        <v>490</v>
      </c>
      <c r="C123" s="13">
        <f>SUMIF(SIGAF!$B$2:$B$491,$A123,SIGAF!$F$2:$F$491)</f>
        <v>10524984481.51</v>
      </c>
      <c r="D123" s="13">
        <f>SUMIF(SIGAF!$B$2:$B$491,$A123,SIGAF!$G$2:$G$491)</f>
        <v>10524984481.51</v>
      </c>
      <c r="E123" s="13">
        <f>SUMIF(SIGAF!$B$2:$B$491,$A123,SIGAF!$H$2:$H$491)</f>
        <v>0</v>
      </c>
      <c r="F123" s="66">
        <f t="shared" si="22"/>
        <v>0</v>
      </c>
      <c r="G123" s="13">
        <f>SUMIF(SIGAF!$B$2:$B$491,$A123,SIGAF!$I$2:$I$491)</f>
        <v>643718931.84000003</v>
      </c>
      <c r="H123" s="66">
        <f t="shared" si="23"/>
        <v>6.1161033821082351E-2</v>
      </c>
      <c r="I123" s="13">
        <f>SUMIF(SIGAF!$B$2:$B$491,$A123,SIGAF!$J$2:$J$491)</f>
        <v>0</v>
      </c>
      <c r="J123" s="66">
        <f t="shared" si="23"/>
        <v>0</v>
      </c>
      <c r="K123" s="13">
        <f>SUMIF(SIGAF!$B$2:$B$491,$A123,SIGAF!$K$2:$K$491)</f>
        <v>9840185342.7000008</v>
      </c>
      <c r="L123" s="142">
        <f t="shared" si="27"/>
        <v>0.93493585287341419</v>
      </c>
      <c r="M123" s="13">
        <f>SUMIF(SIGAF!$B$2:$B$491,$A123,SIGAF!$L$2:$L$491)</f>
        <v>9029913463.7399998</v>
      </c>
      <c r="N123" s="66">
        <f t="shared" si="24"/>
        <v>0.85795028768009118</v>
      </c>
      <c r="O123" s="85">
        <f>SUMIF(SIGAF!$B$2:$B$491,$A123,SIGAF!$M$2:$M$491)</f>
        <v>41080206.969999999</v>
      </c>
      <c r="P123" s="66">
        <f t="shared" si="25"/>
        <v>3.9031133055035436E-3</v>
      </c>
      <c r="Q123" s="13">
        <f>SUMIF(SIGAF!$B$2:$B$491,$A123,SIGAF!$N$2:$N$491)</f>
        <v>41080206.969999999</v>
      </c>
      <c r="R123" s="66">
        <f t="shared" si="26"/>
        <v>3.9031133055035436E-3</v>
      </c>
    </row>
    <row r="124" spans="1:19" x14ac:dyDescent="0.25">
      <c r="A124" s="11" t="s">
        <v>217</v>
      </c>
      <c r="B124" s="11" t="s">
        <v>218</v>
      </c>
      <c r="C124" s="13">
        <f>SUMIF(SIGAF!$B$2:$B$491,$A124,SIGAF!$F$2:$F$491)</f>
        <v>10512984481.51</v>
      </c>
      <c r="D124" s="13">
        <f>SUMIF(SIGAF!$B$2:$B$491,$A124,SIGAF!$G$2:$G$491)</f>
        <v>10512984481.51</v>
      </c>
      <c r="E124" s="13">
        <f>SUMIF(SIGAF!$B$2:$B$491,$A124,SIGAF!$H$2:$H$491)</f>
        <v>0</v>
      </c>
      <c r="F124" s="66">
        <f t="shared" si="22"/>
        <v>0</v>
      </c>
      <c r="G124" s="13">
        <f>SUMIF(SIGAF!$B$2:$B$491,$A124,SIGAF!$I$2:$I$491)</f>
        <v>643718931.84000003</v>
      </c>
      <c r="H124" s="66">
        <f t="shared" si="23"/>
        <v>6.1230845814731143E-2</v>
      </c>
      <c r="I124" s="13">
        <f>SUMIF(SIGAF!$B$2:$B$491,$A124,SIGAF!$J$2:$J$491)</f>
        <v>0</v>
      </c>
      <c r="J124" s="66">
        <f t="shared" si="23"/>
        <v>0</v>
      </c>
      <c r="K124" s="13">
        <f>SUMIF(SIGAF!$B$2:$B$491,$A124,SIGAF!$K$2:$K$491)</f>
        <v>9828198367.7000008</v>
      </c>
      <c r="L124" s="142">
        <f t="shared" si="27"/>
        <v>0.93486282463230252</v>
      </c>
      <c r="M124" s="13">
        <f>SUMIF(SIGAF!$B$2:$B$491,$A124,SIGAF!$L$2:$L$491)</f>
        <v>9022994308.7399998</v>
      </c>
      <c r="N124" s="66">
        <f t="shared" si="24"/>
        <v>0.85827143801167394</v>
      </c>
      <c r="O124" s="85">
        <f>SUMIF(SIGAF!$B$2:$B$491,$A124,SIGAF!$M$2:$M$491)</f>
        <v>41067181.969999999</v>
      </c>
      <c r="P124" s="66">
        <f t="shared" si="25"/>
        <v>3.9063295529664322E-3</v>
      </c>
      <c r="Q124" s="13">
        <f>SUMIF(SIGAF!$B$2:$B$491,$A124,SIGAF!$N$2:$N$491)</f>
        <v>41067181.969999999</v>
      </c>
      <c r="R124" s="66">
        <f t="shared" si="26"/>
        <v>3.9063295529664322E-3</v>
      </c>
    </row>
    <row r="125" spans="1:19" x14ac:dyDescent="0.25">
      <c r="A125" s="11" t="s">
        <v>376</v>
      </c>
      <c r="B125" s="11" t="s">
        <v>491</v>
      </c>
      <c r="C125" s="13">
        <f>SUMIF(SIGAF!$B$2:$B$491,$A125,SIGAF!$F$2:$F$491)</f>
        <v>12000000</v>
      </c>
      <c r="D125" s="13">
        <f>SUMIF(SIGAF!$B$2:$B$491,$A125,SIGAF!$G$2:$G$491)</f>
        <v>12000000</v>
      </c>
      <c r="E125" s="13">
        <f>SUMIF(SIGAF!$B$2:$B$491,$A125,SIGAF!$H$2:$H$491)</f>
        <v>0</v>
      </c>
      <c r="F125" s="66">
        <f t="shared" si="22"/>
        <v>0</v>
      </c>
      <c r="G125" s="13">
        <f>SUMIF(SIGAF!$B$2:$B$491,$A125,SIGAF!$I$2:$I$491)</f>
        <v>0</v>
      </c>
      <c r="H125" s="66">
        <f t="shared" si="23"/>
        <v>0</v>
      </c>
      <c r="I125" s="13">
        <f>SUMIF(SIGAF!$B$2:$B$491,$A125,SIGAF!$J$2:$J$491)</f>
        <v>0</v>
      </c>
      <c r="J125" s="66">
        <f t="shared" si="23"/>
        <v>0</v>
      </c>
      <c r="K125" s="13">
        <f>SUMIF(SIGAF!$B$2:$B$491,$A125,SIGAF!$K$2:$K$491)</f>
        <v>11986975</v>
      </c>
      <c r="L125" s="142">
        <f t="shared" si="27"/>
        <v>0.99891458333333338</v>
      </c>
      <c r="M125" s="13">
        <f>SUMIF(SIGAF!$B$2:$B$491,$A125,SIGAF!$L$2:$L$491)</f>
        <v>6919155</v>
      </c>
      <c r="N125" s="66">
        <f t="shared" si="24"/>
        <v>0.57659625000000003</v>
      </c>
      <c r="O125" s="85">
        <f>SUMIF(SIGAF!$B$2:$B$491,$A125,SIGAF!$M$2:$M$491)</f>
        <v>13025</v>
      </c>
      <c r="P125" s="66">
        <f t="shared" si="25"/>
        <v>1.0854166666666666E-3</v>
      </c>
      <c r="Q125" s="13">
        <f>SUMIF(SIGAF!$B$2:$B$491,$A125,SIGAF!$N$2:$N$491)</f>
        <v>13025</v>
      </c>
      <c r="R125" s="66">
        <f t="shared" si="26"/>
        <v>1.0854166666666666E-3</v>
      </c>
    </row>
    <row r="126" spans="1:19" x14ac:dyDescent="0.25">
      <c r="A126" s="11" t="s">
        <v>219</v>
      </c>
      <c r="B126" s="11" t="s">
        <v>492</v>
      </c>
      <c r="C126" s="13">
        <f>SUMIF(SIGAF!$B$2:$B$491,$A126,SIGAF!$F$2:$F$491)</f>
        <v>733474654</v>
      </c>
      <c r="D126" s="13">
        <f>SUMIF(SIGAF!$B$2:$B$491,$A126,SIGAF!$G$2:$G$491)</f>
        <v>733474654</v>
      </c>
      <c r="E126" s="13">
        <f>SUMIF(SIGAF!$B$2:$B$491,$A126,SIGAF!$H$2:$H$491)</f>
        <v>0</v>
      </c>
      <c r="F126" s="66">
        <f t="shared" si="22"/>
        <v>0</v>
      </c>
      <c r="G126" s="13">
        <f>SUMIF(SIGAF!$B$2:$B$491,$A126,SIGAF!$I$2:$I$491)</f>
        <v>49281675.18</v>
      </c>
      <c r="H126" s="66">
        <f t="shared" si="23"/>
        <v>6.7189336279369238E-2</v>
      </c>
      <c r="I126" s="13">
        <f>SUMIF(SIGAF!$B$2:$B$491,$A126,SIGAF!$J$2:$J$491)</f>
        <v>0</v>
      </c>
      <c r="J126" s="66">
        <f t="shared" si="23"/>
        <v>0</v>
      </c>
      <c r="K126" s="13">
        <f>SUMIF(SIGAF!$B$2:$B$491,$A126,SIGAF!$K$2:$K$491)</f>
        <v>507027686.76999998</v>
      </c>
      <c r="L126" s="142">
        <f t="shared" si="27"/>
        <v>0.69126817675965657</v>
      </c>
      <c r="M126" s="13">
        <f>SUMIF(SIGAF!$B$2:$B$491,$A126,SIGAF!$L$2:$L$491)</f>
        <v>332734840.07999998</v>
      </c>
      <c r="N126" s="66">
        <f t="shared" si="24"/>
        <v>0.45364190605010324</v>
      </c>
      <c r="O126" s="85">
        <f>SUMIF(SIGAF!$B$2:$B$491,$A126,SIGAF!$M$2:$M$491)</f>
        <v>177165292.04999998</v>
      </c>
      <c r="P126" s="66">
        <f t="shared" si="25"/>
        <v>0.24154248696097408</v>
      </c>
      <c r="Q126" s="13">
        <f>SUMIF(SIGAF!$B$2:$B$491,$A126,SIGAF!$N$2:$N$491)</f>
        <v>177165292.04999998</v>
      </c>
      <c r="R126" s="66">
        <f t="shared" si="26"/>
        <v>0.24154248696097408</v>
      </c>
    </row>
    <row r="127" spans="1:19" x14ac:dyDescent="0.25">
      <c r="A127" s="11" t="s">
        <v>221</v>
      </c>
      <c r="B127" s="11" t="s">
        <v>493</v>
      </c>
      <c r="C127" s="13">
        <f>SUMIF(SIGAF!$B$2:$B$491,$A127,SIGAF!$F$2:$F$491)</f>
        <v>294716374</v>
      </c>
      <c r="D127" s="13">
        <f>SUMIF(SIGAF!$B$2:$B$491,$A127,SIGAF!$G$2:$G$491)</f>
        <v>294716374</v>
      </c>
      <c r="E127" s="13">
        <f>SUMIF(SIGAF!$B$2:$B$491,$A127,SIGAF!$H$2:$H$491)</f>
        <v>0</v>
      </c>
      <c r="F127" s="66">
        <f t="shared" si="22"/>
        <v>0</v>
      </c>
      <c r="G127" s="13">
        <f>SUMIF(SIGAF!$B$2:$B$491,$A127,SIGAF!$I$2:$I$491)</f>
        <v>6019035</v>
      </c>
      <c r="H127" s="66">
        <f t="shared" si="23"/>
        <v>2.0423144185399079E-2</v>
      </c>
      <c r="I127" s="13">
        <f>SUMIF(SIGAF!$B$2:$B$491,$A127,SIGAF!$J$2:$J$491)</f>
        <v>0</v>
      </c>
      <c r="J127" s="66">
        <f t="shared" si="23"/>
        <v>0</v>
      </c>
      <c r="K127" s="13">
        <f>SUMIF(SIGAF!$B$2:$B$491,$A127,SIGAF!$K$2:$K$491)</f>
        <v>247488723.13</v>
      </c>
      <c r="L127" s="142">
        <f t="shared" si="27"/>
        <v>0.83975219893958108</v>
      </c>
      <c r="M127" s="13">
        <f>SUMIF(SIGAF!$B$2:$B$491,$A127,SIGAF!$L$2:$L$491)</f>
        <v>164794843.28999999</v>
      </c>
      <c r="N127" s="66">
        <f t="shared" si="24"/>
        <v>0.55916419251955096</v>
      </c>
      <c r="O127" s="85">
        <f>SUMIF(SIGAF!$B$2:$B$491,$A127,SIGAF!$M$2:$M$491)</f>
        <v>41208615.869999997</v>
      </c>
      <c r="P127" s="66">
        <f t="shared" si="25"/>
        <v>0.13982465687501977</v>
      </c>
      <c r="Q127" s="13">
        <f>SUMIF(SIGAF!$B$2:$B$491,$A127,SIGAF!$N$2:$N$491)</f>
        <v>41208615.869999997</v>
      </c>
      <c r="R127" s="66">
        <f t="shared" si="26"/>
        <v>0.13982465687501977</v>
      </c>
    </row>
    <row r="128" spans="1:19" x14ac:dyDescent="0.25">
      <c r="A128" s="11" t="s">
        <v>345</v>
      </c>
      <c r="B128" s="11" t="s">
        <v>494</v>
      </c>
      <c r="C128" s="13">
        <f>SUMIF(SIGAF!$B$2:$B$491,$A128,SIGAF!$F$2:$F$491)</f>
        <v>69168000</v>
      </c>
      <c r="D128" s="13">
        <f>SUMIF(SIGAF!$B$2:$B$491,$A128,SIGAF!$G$2:$G$491)</f>
        <v>69168000</v>
      </c>
      <c r="E128" s="13">
        <f>SUMIF(SIGAF!$B$2:$B$491,$A128,SIGAF!$H$2:$H$491)</f>
        <v>0</v>
      </c>
      <c r="F128" s="66">
        <f t="shared" si="22"/>
        <v>0</v>
      </c>
      <c r="G128" s="13">
        <f>SUMIF(SIGAF!$B$2:$B$491,$A128,SIGAF!$I$2:$I$491)</f>
        <v>3935643</v>
      </c>
      <c r="H128" s="66">
        <f t="shared" si="23"/>
        <v>5.6899765787647466E-2</v>
      </c>
      <c r="I128" s="13">
        <f>SUMIF(SIGAF!$B$2:$B$491,$A128,SIGAF!$J$2:$J$491)</f>
        <v>0</v>
      </c>
      <c r="J128" s="66">
        <f t="shared" si="23"/>
        <v>0</v>
      </c>
      <c r="K128" s="13">
        <f>SUMIF(SIGAF!$B$2:$B$491,$A128,SIGAF!$K$2:$K$491)</f>
        <v>65185353.920000002</v>
      </c>
      <c r="L128" s="142">
        <f t="shared" si="27"/>
        <v>0.94242068470969242</v>
      </c>
      <c r="M128" s="13">
        <f>SUMIF(SIGAF!$B$2:$B$491,$A128,SIGAF!$L$2:$L$491)</f>
        <v>34614699.920000002</v>
      </c>
      <c r="N128" s="66">
        <f t="shared" si="24"/>
        <v>0.50044384570899836</v>
      </c>
      <c r="O128" s="85">
        <f>SUMIF(SIGAF!$B$2:$B$491,$A128,SIGAF!$M$2:$M$491)</f>
        <v>47003.08</v>
      </c>
      <c r="P128" s="66">
        <f t="shared" si="25"/>
        <v>6.7954950266018973E-4</v>
      </c>
      <c r="Q128" s="13">
        <f>SUMIF(SIGAF!$B$2:$B$491,$A128,SIGAF!$N$2:$N$491)</f>
        <v>47003.08</v>
      </c>
      <c r="R128" s="66">
        <f t="shared" si="26"/>
        <v>6.7954950266018973E-4</v>
      </c>
    </row>
    <row r="129" spans="1:18" x14ac:dyDescent="0.25">
      <c r="A129" s="11" t="s">
        <v>347</v>
      </c>
      <c r="B129" s="11" t="s">
        <v>495</v>
      </c>
      <c r="C129" s="13">
        <f>SUMIF(SIGAF!$B$2:$B$491,$A129,SIGAF!$F$2:$F$491)</f>
        <v>97694469</v>
      </c>
      <c r="D129" s="13">
        <f>SUMIF(SIGAF!$B$2:$B$491,$A129,SIGAF!$G$2:$G$491)</f>
        <v>97694469</v>
      </c>
      <c r="E129" s="13">
        <f>SUMIF(SIGAF!$B$2:$B$491,$A129,SIGAF!$H$2:$H$491)</f>
        <v>0</v>
      </c>
      <c r="F129" s="66">
        <f t="shared" si="22"/>
        <v>0</v>
      </c>
      <c r="G129" s="13">
        <f>SUMIF(SIGAF!$B$2:$B$491,$A129,SIGAF!$I$2:$I$491)</f>
        <v>39170598</v>
      </c>
      <c r="H129" s="66">
        <f t="shared" si="23"/>
        <v>0.40095000669894626</v>
      </c>
      <c r="I129" s="13">
        <f>SUMIF(SIGAF!$B$2:$B$491,$A129,SIGAF!$J$2:$J$491)</f>
        <v>0</v>
      </c>
      <c r="J129" s="66">
        <f t="shared" si="23"/>
        <v>0</v>
      </c>
      <c r="K129" s="13">
        <f>SUMIF(SIGAF!$B$2:$B$491,$A129,SIGAF!$K$2:$K$491)</f>
        <v>58406417.5</v>
      </c>
      <c r="L129" s="142">
        <f t="shared" si="27"/>
        <v>0.59784773997799201</v>
      </c>
      <c r="M129" s="13">
        <f>SUMIF(SIGAF!$B$2:$B$491,$A129,SIGAF!$L$2:$L$491)</f>
        <v>34681337.5</v>
      </c>
      <c r="N129" s="66">
        <f t="shared" si="24"/>
        <v>0.35499796308837095</v>
      </c>
      <c r="O129" s="85">
        <f>SUMIF(SIGAF!$B$2:$B$491,$A129,SIGAF!$M$2:$M$491)</f>
        <v>117453.5</v>
      </c>
      <c r="P129" s="66">
        <f t="shared" si="25"/>
        <v>1.2022533230617181E-3</v>
      </c>
      <c r="Q129" s="13">
        <f>SUMIF(SIGAF!$B$2:$B$491,$A129,SIGAF!$N$2:$N$491)</f>
        <v>117453.5</v>
      </c>
      <c r="R129" s="66">
        <f t="shared" si="26"/>
        <v>1.2022533230617181E-3</v>
      </c>
    </row>
    <row r="130" spans="1:18" x14ac:dyDescent="0.25">
      <c r="A130" s="11" t="s">
        <v>223</v>
      </c>
      <c r="B130" s="11" t="s">
        <v>496</v>
      </c>
      <c r="C130" s="13">
        <f>SUMIF(SIGAF!$B$2:$B$491,$A130,SIGAF!$F$2:$F$491)</f>
        <v>153201637</v>
      </c>
      <c r="D130" s="13">
        <f>SUMIF(SIGAF!$B$2:$B$491,$A130,SIGAF!$G$2:$G$491)</f>
        <v>153201637</v>
      </c>
      <c r="E130" s="13">
        <f>SUMIF(SIGAF!$B$2:$B$491,$A130,SIGAF!$H$2:$H$491)</f>
        <v>0</v>
      </c>
      <c r="F130" s="66">
        <f t="shared" si="22"/>
        <v>0</v>
      </c>
      <c r="G130" s="13">
        <f>SUMIF(SIGAF!$B$2:$B$491,$A130,SIGAF!$I$2:$I$491)</f>
        <v>115430</v>
      </c>
      <c r="H130" s="66">
        <f t="shared" si="23"/>
        <v>7.5345147911180614E-4</v>
      </c>
      <c r="I130" s="13">
        <f>SUMIF(SIGAF!$B$2:$B$491,$A130,SIGAF!$J$2:$J$491)</f>
        <v>0</v>
      </c>
      <c r="J130" s="66">
        <f t="shared" si="23"/>
        <v>0</v>
      </c>
      <c r="K130" s="13">
        <f>SUMIF(SIGAF!$B$2:$B$491,$A130,SIGAF!$K$2:$K$491)</f>
        <v>40597210.760000005</v>
      </c>
      <c r="L130" s="142">
        <f t="shared" si="27"/>
        <v>0.26499201676284961</v>
      </c>
      <c r="M130" s="13">
        <f>SUMIF(SIGAF!$B$2:$B$491,$A130,SIGAF!$L$2:$L$491)</f>
        <v>39525612.760000005</v>
      </c>
      <c r="N130" s="66">
        <f t="shared" si="24"/>
        <v>0.2579973264907085</v>
      </c>
      <c r="O130" s="85">
        <f>SUMIF(SIGAF!$B$2:$B$491,$A130,SIGAF!$M$2:$M$491)</f>
        <v>112488996.24000001</v>
      </c>
      <c r="P130" s="66">
        <f t="shared" si="25"/>
        <v>0.73425453175803868</v>
      </c>
      <c r="Q130" s="13">
        <f>SUMIF(SIGAF!$B$2:$B$491,$A130,SIGAF!$N$2:$N$491)</f>
        <v>112488996.24000001</v>
      </c>
      <c r="R130" s="66">
        <f t="shared" si="26"/>
        <v>0.73425453175803868</v>
      </c>
    </row>
    <row r="131" spans="1:18" x14ac:dyDescent="0.25">
      <c r="A131" s="11" t="s">
        <v>225</v>
      </c>
      <c r="B131" s="11" t="s">
        <v>497</v>
      </c>
      <c r="C131" s="13">
        <f>SUMIF(SIGAF!$B$2:$B$491,$A131,SIGAF!$F$2:$F$491)</f>
        <v>7129000</v>
      </c>
      <c r="D131" s="13">
        <f>SUMIF(SIGAF!$B$2:$B$491,$A131,SIGAF!$G$2:$G$491)</f>
        <v>7129000</v>
      </c>
      <c r="E131" s="13">
        <f>SUMIF(SIGAF!$B$2:$B$491,$A131,SIGAF!$H$2:$H$491)</f>
        <v>0</v>
      </c>
      <c r="F131" s="66">
        <f t="shared" si="22"/>
        <v>0</v>
      </c>
      <c r="G131" s="13">
        <f>SUMIF(SIGAF!$B$2:$B$491,$A131,SIGAF!$I$2:$I$491)</f>
        <v>0</v>
      </c>
      <c r="H131" s="66">
        <f t="shared" si="23"/>
        <v>0</v>
      </c>
      <c r="I131" s="13">
        <f>SUMIF(SIGAF!$B$2:$B$491,$A131,SIGAF!$J$2:$J$491)</f>
        <v>0</v>
      </c>
      <c r="J131" s="66">
        <f t="shared" si="23"/>
        <v>0</v>
      </c>
      <c r="K131" s="13">
        <f>SUMIF(SIGAF!$B$2:$B$491,$A131,SIGAF!$K$2:$K$491)</f>
        <v>7043000</v>
      </c>
      <c r="L131" s="142">
        <f t="shared" si="27"/>
        <v>0.98793659699817649</v>
      </c>
      <c r="M131" s="13">
        <f>SUMIF(SIGAF!$B$2:$B$491,$A131,SIGAF!$L$2:$L$491)</f>
        <v>7043000</v>
      </c>
      <c r="N131" s="66">
        <f t="shared" si="24"/>
        <v>0.98793659699817649</v>
      </c>
      <c r="O131" s="85">
        <f>SUMIF(SIGAF!$B$2:$B$491,$A131,SIGAF!$M$2:$M$491)</f>
        <v>86000</v>
      </c>
      <c r="P131" s="66">
        <f t="shared" si="25"/>
        <v>1.2063403001823538E-2</v>
      </c>
      <c r="Q131" s="13">
        <f>SUMIF(SIGAF!$B$2:$B$491,$A131,SIGAF!$N$2:$N$491)</f>
        <v>86000</v>
      </c>
      <c r="R131" s="66">
        <f t="shared" si="26"/>
        <v>1.2063403001823538E-2</v>
      </c>
    </row>
    <row r="132" spans="1:18" x14ac:dyDescent="0.25">
      <c r="A132" s="11" t="s">
        <v>227</v>
      </c>
      <c r="B132" s="11" t="s">
        <v>498</v>
      </c>
      <c r="C132" s="13">
        <f>SUMIF(SIGAF!$B$2:$B$491,$A132,SIGAF!$F$2:$F$491)</f>
        <v>85690514</v>
      </c>
      <c r="D132" s="13">
        <f>SUMIF(SIGAF!$B$2:$B$491,$A132,SIGAF!$G$2:$G$491)</f>
        <v>85690514</v>
      </c>
      <c r="E132" s="13">
        <f>SUMIF(SIGAF!$B$2:$B$491,$A132,SIGAF!$H$2:$H$491)</f>
        <v>0</v>
      </c>
      <c r="F132" s="66">
        <f t="shared" si="22"/>
        <v>0</v>
      </c>
      <c r="G132" s="13">
        <f>SUMIF(SIGAF!$B$2:$B$491,$A132,SIGAF!$I$2:$I$491)</f>
        <v>40969.18</v>
      </c>
      <c r="H132" s="66">
        <f t="shared" si="23"/>
        <v>4.7810636309171864E-4</v>
      </c>
      <c r="I132" s="13">
        <f>SUMIF(SIGAF!$B$2:$B$491,$A132,SIGAF!$J$2:$J$491)</f>
        <v>0</v>
      </c>
      <c r="J132" s="66">
        <f t="shared" si="23"/>
        <v>0</v>
      </c>
      <c r="K132" s="13">
        <f>SUMIF(SIGAF!$B$2:$B$491,$A132,SIGAF!$K$2:$K$491)</f>
        <v>65860425.460000001</v>
      </c>
      <c r="L132" s="142">
        <f t="shared" si="27"/>
        <v>0.76858478710957434</v>
      </c>
      <c r="M132" s="13">
        <f>SUMIF(SIGAF!$B$2:$B$491,$A132,SIGAF!$L$2:$L$491)</f>
        <v>40983036.609999999</v>
      </c>
      <c r="N132" s="66">
        <f t="shared" si="24"/>
        <v>0.47826806838852665</v>
      </c>
      <c r="O132" s="85">
        <f>SUMIF(SIGAF!$B$2:$B$491,$A132,SIGAF!$M$2:$M$491)</f>
        <v>19789119.359999999</v>
      </c>
      <c r="P132" s="66">
        <f t="shared" si="25"/>
        <v>0.23093710652733393</v>
      </c>
      <c r="Q132" s="13">
        <f>SUMIF(SIGAF!$B$2:$B$491,$A132,SIGAF!$N$2:$N$491)</f>
        <v>19789119.359999999</v>
      </c>
      <c r="R132" s="66">
        <f t="shared" si="26"/>
        <v>0.23093710652733393</v>
      </c>
    </row>
    <row r="133" spans="1:18" x14ac:dyDescent="0.25">
      <c r="A133" s="11" t="s">
        <v>229</v>
      </c>
      <c r="B133" s="11" t="s">
        <v>499</v>
      </c>
      <c r="C133" s="13">
        <f>SUMIF(SIGAF!$B$2:$B$491,$A133,SIGAF!$F$2:$F$491)</f>
        <v>25874660</v>
      </c>
      <c r="D133" s="13">
        <f>SUMIF(SIGAF!$B$2:$B$491,$A133,SIGAF!$G$2:$G$491)</f>
        <v>25874660</v>
      </c>
      <c r="E133" s="13">
        <f>SUMIF(SIGAF!$B$2:$B$491,$A133,SIGAF!$H$2:$H$491)</f>
        <v>0</v>
      </c>
      <c r="F133" s="66">
        <f t="shared" si="22"/>
        <v>0</v>
      </c>
      <c r="G133" s="13">
        <f>SUMIF(SIGAF!$B$2:$B$491,$A133,SIGAF!$I$2:$I$491)</f>
        <v>0</v>
      </c>
      <c r="H133" s="66">
        <f t="shared" si="23"/>
        <v>0</v>
      </c>
      <c r="I133" s="13">
        <f>SUMIF(SIGAF!$B$2:$B$491,$A133,SIGAF!$J$2:$J$491)</f>
        <v>0</v>
      </c>
      <c r="J133" s="66">
        <f t="shared" si="23"/>
        <v>0</v>
      </c>
      <c r="K133" s="13">
        <f>SUMIF(SIGAF!$B$2:$B$491,$A133,SIGAF!$K$2:$K$491)</f>
        <v>22446556</v>
      </c>
      <c r="L133" s="142">
        <f t="shared" si="27"/>
        <v>0.86751114797257234</v>
      </c>
      <c r="M133" s="13">
        <f>SUMIF(SIGAF!$B$2:$B$491,$A133,SIGAF!$L$2:$L$491)</f>
        <v>11092310</v>
      </c>
      <c r="N133" s="66">
        <f t="shared" si="24"/>
        <v>0.42869394225856494</v>
      </c>
      <c r="O133" s="85">
        <f>SUMIF(SIGAF!$B$2:$B$491,$A133,SIGAF!$M$2:$M$491)</f>
        <v>3428104</v>
      </c>
      <c r="P133" s="66">
        <f t="shared" si="25"/>
        <v>0.13248885202742761</v>
      </c>
      <c r="Q133" s="13">
        <f>SUMIF(SIGAF!$B$2:$B$491,$A133,SIGAF!$N$2:$N$491)</f>
        <v>3428104</v>
      </c>
      <c r="R133" s="66">
        <f t="shared" si="26"/>
        <v>0.13248885202742761</v>
      </c>
    </row>
    <row r="134" spans="1:18" x14ac:dyDescent="0.25">
      <c r="A134" s="11" t="s">
        <v>231</v>
      </c>
      <c r="B134" s="11" t="s">
        <v>500</v>
      </c>
      <c r="C134" s="13">
        <f>SUMIF(SIGAF!$B$2:$B$491,$A134,SIGAF!$F$2:$F$491)</f>
        <v>247742500</v>
      </c>
      <c r="D134" s="13">
        <f>SUMIF(SIGAF!$B$2:$B$491,$A134,SIGAF!$G$2:$G$491)</f>
        <v>247742500</v>
      </c>
      <c r="E134" s="13">
        <f>SUMIF(SIGAF!$B$2:$B$491,$A134,SIGAF!$H$2:$H$491)</f>
        <v>0</v>
      </c>
      <c r="F134" s="66">
        <f t="shared" si="22"/>
        <v>0</v>
      </c>
      <c r="G134" s="13">
        <f>SUMIF(SIGAF!$B$2:$B$491,$A134,SIGAF!$I$2:$I$491)</f>
        <v>29697133.329999998</v>
      </c>
      <c r="H134" s="66">
        <f t="shared" si="23"/>
        <v>0.11987096816250743</v>
      </c>
      <c r="I134" s="13">
        <f>SUMIF(SIGAF!$B$2:$B$491,$A134,SIGAF!$J$2:$J$491)</f>
        <v>0</v>
      </c>
      <c r="J134" s="66">
        <f t="shared" si="23"/>
        <v>0</v>
      </c>
      <c r="K134" s="13">
        <f>SUMIF(SIGAF!$B$2:$B$491,$A134,SIGAF!$K$2:$K$491)</f>
        <v>164136272.01000002</v>
      </c>
      <c r="L134" s="142">
        <f t="shared" si="27"/>
        <v>0.66252771329101801</v>
      </c>
      <c r="M134" s="13">
        <f>SUMIF(SIGAF!$B$2:$B$491,$A134,SIGAF!$L$2:$L$491)</f>
        <v>82921312.349999994</v>
      </c>
      <c r="N134" s="66">
        <f t="shared" si="24"/>
        <v>0.33470765956587989</v>
      </c>
      <c r="O134" s="85">
        <f>SUMIF(SIGAF!$B$2:$B$491,$A134,SIGAF!$M$2:$M$491)</f>
        <v>53909094.660000004</v>
      </c>
      <c r="P134" s="66">
        <f t="shared" si="25"/>
        <v>0.21760131854647469</v>
      </c>
      <c r="Q134" s="13">
        <f>SUMIF(SIGAF!$B$2:$B$491,$A134,SIGAF!$N$2:$N$491)</f>
        <v>53909094.660000004</v>
      </c>
      <c r="R134" s="66">
        <f t="shared" si="26"/>
        <v>0.21760131854647469</v>
      </c>
    </row>
    <row r="135" spans="1:18" x14ac:dyDescent="0.25">
      <c r="A135" s="11" t="s">
        <v>233</v>
      </c>
      <c r="B135" s="11" t="s">
        <v>501</v>
      </c>
      <c r="C135" s="13">
        <f>SUMIF(SIGAF!$B$2:$B$491,$A135,SIGAF!$F$2:$F$491)</f>
        <v>51521999</v>
      </c>
      <c r="D135" s="13">
        <f>SUMIF(SIGAF!$B$2:$B$491,$A135,SIGAF!$G$2:$G$491)</f>
        <v>51521999</v>
      </c>
      <c r="E135" s="13">
        <f>SUMIF(SIGAF!$B$2:$B$491,$A135,SIGAF!$H$2:$H$491)</f>
        <v>0</v>
      </c>
      <c r="F135" s="66">
        <f t="shared" si="22"/>
        <v>0</v>
      </c>
      <c r="G135" s="13">
        <f>SUMIF(SIGAF!$B$2:$B$491,$A135,SIGAF!$I$2:$I$491)</f>
        <v>16855580</v>
      </c>
      <c r="H135" s="66">
        <f t="shared" si="23"/>
        <v>0.32715306717815823</v>
      </c>
      <c r="I135" s="13">
        <f>SUMIF(SIGAF!$B$2:$B$491,$A135,SIGAF!$J$2:$J$491)</f>
        <v>0</v>
      </c>
      <c r="J135" s="66">
        <f t="shared" si="23"/>
        <v>0</v>
      </c>
      <c r="K135" s="13">
        <f>SUMIF(SIGAF!$B$2:$B$491,$A135,SIGAF!$K$2:$K$491)</f>
        <v>24784707.02</v>
      </c>
      <c r="L135" s="142">
        <f t="shared" si="27"/>
        <v>0.48105095883410887</v>
      </c>
      <c r="M135" s="13">
        <f>SUMIF(SIGAF!$B$2:$B$491,$A135,SIGAF!$L$2:$L$491)</f>
        <v>14031352.780000001</v>
      </c>
      <c r="N135" s="66">
        <f t="shared" si="24"/>
        <v>0.27233711914011721</v>
      </c>
      <c r="O135" s="85">
        <f>SUMIF(SIGAF!$B$2:$B$491,$A135,SIGAF!$M$2:$M$491)</f>
        <v>9881711.9800000004</v>
      </c>
      <c r="P135" s="66">
        <f t="shared" si="25"/>
        <v>0.1917959739877329</v>
      </c>
      <c r="Q135" s="13">
        <f>SUMIF(SIGAF!$B$2:$B$491,$A135,SIGAF!$N$2:$N$491)</f>
        <v>9881711.9800000004</v>
      </c>
      <c r="R135" s="66">
        <f t="shared" si="26"/>
        <v>0.1917959739877329</v>
      </c>
    </row>
    <row r="136" spans="1:18" x14ac:dyDescent="0.25">
      <c r="A136" s="11" t="s">
        <v>235</v>
      </c>
      <c r="B136" s="11" t="s">
        <v>502</v>
      </c>
      <c r="C136" s="13">
        <f>SUMIF(SIGAF!$B$2:$B$491,$A136,SIGAF!$F$2:$F$491)</f>
        <v>196220501</v>
      </c>
      <c r="D136" s="13">
        <f>SUMIF(SIGAF!$B$2:$B$491,$A136,SIGAF!$G$2:$G$491)</f>
        <v>196220501</v>
      </c>
      <c r="E136" s="13">
        <f>SUMIF(SIGAF!$B$2:$B$491,$A136,SIGAF!$H$2:$H$491)</f>
        <v>0</v>
      </c>
      <c r="F136" s="66">
        <f t="shared" si="22"/>
        <v>0</v>
      </c>
      <c r="G136" s="13">
        <f>SUMIF(SIGAF!$B$2:$B$491,$A136,SIGAF!$I$2:$I$491)</f>
        <v>12841553.33</v>
      </c>
      <c r="H136" s="66">
        <f t="shared" si="23"/>
        <v>6.5444503833980122E-2</v>
      </c>
      <c r="I136" s="13">
        <f>SUMIF(SIGAF!$B$2:$B$491,$A136,SIGAF!$J$2:$J$491)</f>
        <v>0</v>
      </c>
      <c r="J136" s="66">
        <f t="shared" si="23"/>
        <v>0</v>
      </c>
      <c r="K136" s="13">
        <f>SUMIF(SIGAF!$B$2:$B$491,$A136,SIGAF!$K$2:$K$491)</f>
        <v>139351564.98999998</v>
      </c>
      <c r="L136" s="142">
        <f t="shared" si="27"/>
        <v>0.71017841805428872</v>
      </c>
      <c r="M136" s="13">
        <f>SUMIF(SIGAF!$B$2:$B$491,$A136,SIGAF!$L$2:$L$491)</f>
        <v>68889959.569999993</v>
      </c>
      <c r="N136" s="66">
        <f t="shared" si="24"/>
        <v>0.35108441380444744</v>
      </c>
      <c r="O136" s="85">
        <f>SUMIF(SIGAF!$B$2:$B$491,$A136,SIGAF!$M$2:$M$491)</f>
        <v>44027382.68</v>
      </c>
      <c r="P136" s="66">
        <f t="shared" si="25"/>
        <v>0.22437707811173105</v>
      </c>
      <c r="Q136" s="13">
        <f>SUMIF(SIGAF!$B$2:$B$491,$A136,SIGAF!$N$2:$N$491)</f>
        <v>44027382.68</v>
      </c>
      <c r="R136" s="66">
        <f t="shared" si="26"/>
        <v>0.22437707811173105</v>
      </c>
    </row>
    <row r="137" spans="1:18" x14ac:dyDescent="0.25">
      <c r="A137" s="11" t="s">
        <v>237</v>
      </c>
      <c r="B137" s="11" t="s">
        <v>503</v>
      </c>
      <c r="C137" s="13">
        <f>SUMIF(SIGAF!$B$2:$B$491,$A137,SIGAF!$F$2:$F$491)</f>
        <v>2968596657</v>
      </c>
      <c r="D137" s="13">
        <f>SUMIF(SIGAF!$B$2:$B$491,$A137,SIGAF!$G$2:$G$491)</f>
        <v>2968596657</v>
      </c>
      <c r="E137" s="13">
        <f>SUMIF(SIGAF!$B$2:$B$491,$A137,SIGAF!$H$2:$H$491)</f>
        <v>0</v>
      </c>
      <c r="F137" s="66">
        <f t="shared" si="22"/>
        <v>0</v>
      </c>
      <c r="G137" s="13">
        <f>SUMIF(SIGAF!$B$2:$B$491,$A137,SIGAF!$I$2:$I$491)</f>
        <v>416405083.61000001</v>
      </c>
      <c r="H137" s="66">
        <f t="shared" si="23"/>
        <v>0.14027001028519989</v>
      </c>
      <c r="I137" s="13">
        <f>SUMIF(SIGAF!$B$2:$B$491,$A137,SIGAF!$J$2:$J$491)</f>
        <v>0</v>
      </c>
      <c r="J137" s="66">
        <f t="shared" si="23"/>
        <v>0</v>
      </c>
      <c r="K137" s="13">
        <f>SUMIF(SIGAF!$B$2:$B$491,$A137,SIGAF!$K$2:$K$491)</f>
        <v>2326297283.9699998</v>
      </c>
      <c r="L137" s="142">
        <f t="shared" si="27"/>
        <v>0.78363535123053929</v>
      </c>
      <c r="M137" s="13">
        <f>SUMIF(SIGAF!$B$2:$B$491,$A137,SIGAF!$L$2:$L$491)</f>
        <v>1654194750.5799999</v>
      </c>
      <c r="N137" s="66">
        <f t="shared" si="24"/>
        <v>0.55723122461900687</v>
      </c>
      <c r="O137" s="85">
        <f>SUMIF(SIGAF!$B$2:$B$491,$A137,SIGAF!$M$2:$M$491)</f>
        <v>225894289.42000002</v>
      </c>
      <c r="P137" s="66">
        <f t="shared" si="25"/>
        <v>7.6094638484260749E-2</v>
      </c>
      <c r="Q137" s="13">
        <f>SUMIF(SIGAF!$B$2:$B$491,$A137,SIGAF!$N$2:$N$491)</f>
        <v>225894289.42000002</v>
      </c>
      <c r="R137" s="66">
        <f t="shared" si="26"/>
        <v>7.6094638484260749E-2</v>
      </c>
    </row>
    <row r="138" spans="1:18" x14ac:dyDescent="0.25">
      <c r="A138" s="11" t="s">
        <v>239</v>
      </c>
      <c r="B138" s="11" t="s">
        <v>504</v>
      </c>
      <c r="C138" s="13">
        <f>SUMIF(SIGAF!$B$2:$B$491,$A138,SIGAF!$F$2:$F$491)</f>
        <v>21676366</v>
      </c>
      <c r="D138" s="13">
        <f>SUMIF(SIGAF!$B$2:$B$491,$A138,SIGAF!$G$2:$G$491)</f>
        <v>21676366</v>
      </c>
      <c r="E138" s="13">
        <f>SUMIF(SIGAF!$B$2:$B$491,$A138,SIGAF!$H$2:$H$491)</f>
        <v>0</v>
      </c>
      <c r="F138" s="66">
        <f t="shared" si="22"/>
        <v>0</v>
      </c>
      <c r="G138" s="13">
        <f>SUMIF(SIGAF!$B$2:$B$491,$A138,SIGAF!$I$2:$I$491)</f>
        <v>203624</v>
      </c>
      <c r="H138" s="66">
        <f t="shared" si="23"/>
        <v>9.3938255148487519E-3</v>
      </c>
      <c r="I138" s="13">
        <f>SUMIF(SIGAF!$B$2:$B$491,$A138,SIGAF!$J$2:$J$491)</f>
        <v>0</v>
      </c>
      <c r="J138" s="66">
        <f t="shared" si="23"/>
        <v>0</v>
      </c>
      <c r="K138" s="13">
        <f>SUMIF(SIGAF!$B$2:$B$491,$A138,SIGAF!$K$2:$K$491)</f>
        <v>12676909.680000002</v>
      </c>
      <c r="L138" s="142">
        <f t="shared" si="27"/>
        <v>0.58482633482014479</v>
      </c>
      <c r="M138" s="13">
        <f>SUMIF(SIGAF!$B$2:$B$491,$A138,SIGAF!$L$2:$L$491)</f>
        <v>11224043.74</v>
      </c>
      <c r="N138" s="66">
        <f t="shared" si="24"/>
        <v>0.51780098841291022</v>
      </c>
      <c r="O138" s="85">
        <f>SUMIF(SIGAF!$B$2:$B$491,$A138,SIGAF!$M$2:$M$491)</f>
        <v>8795832.3200000003</v>
      </c>
      <c r="P138" s="66">
        <f t="shared" si="25"/>
        <v>0.40577983966500658</v>
      </c>
      <c r="Q138" s="13">
        <f>SUMIF(SIGAF!$B$2:$B$491,$A138,SIGAF!$N$2:$N$491)</f>
        <v>8795832.3200000003</v>
      </c>
      <c r="R138" s="66">
        <f t="shared" si="26"/>
        <v>0.40577983966500658</v>
      </c>
    </row>
    <row r="139" spans="1:18" x14ac:dyDescent="0.25">
      <c r="A139" s="11" t="s">
        <v>241</v>
      </c>
      <c r="B139" s="11" t="s">
        <v>505</v>
      </c>
      <c r="C139" s="13">
        <f>SUMIF(SIGAF!$B$2:$B$491,$A139,SIGAF!$F$2:$F$491)</f>
        <v>25945268</v>
      </c>
      <c r="D139" s="13">
        <f>SUMIF(SIGAF!$B$2:$B$491,$A139,SIGAF!$G$2:$G$491)</f>
        <v>25945268</v>
      </c>
      <c r="E139" s="13">
        <f>SUMIF(SIGAF!$B$2:$B$491,$A139,SIGAF!$H$2:$H$491)</f>
        <v>0</v>
      </c>
      <c r="F139" s="66">
        <f t="shared" si="22"/>
        <v>0</v>
      </c>
      <c r="G139" s="13">
        <f>SUMIF(SIGAF!$B$2:$B$491,$A139,SIGAF!$I$2:$I$491)</f>
        <v>5406256.1900000004</v>
      </c>
      <c r="H139" s="66">
        <f t="shared" si="23"/>
        <v>0.20837156856502698</v>
      </c>
      <c r="I139" s="13">
        <f>SUMIF(SIGAF!$B$2:$B$491,$A139,SIGAF!$J$2:$J$491)</f>
        <v>0</v>
      </c>
      <c r="J139" s="66">
        <f t="shared" si="23"/>
        <v>0</v>
      </c>
      <c r="K139" s="13">
        <f>SUMIF(SIGAF!$B$2:$B$491,$A139,SIGAF!$K$2:$K$491)</f>
        <v>14715218.129999999</v>
      </c>
      <c r="L139" s="142">
        <f t="shared" si="27"/>
        <v>0.567163851612556</v>
      </c>
      <c r="M139" s="13">
        <f>SUMIF(SIGAF!$B$2:$B$491,$A139,SIGAF!$L$2:$L$491)</f>
        <v>13274443.52</v>
      </c>
      <c r="N139" s="66">
        <f t="shared" si="24"/>
        <v>0.5116325458653963</v>
      </c>
      <c r="O139" s="85">
        <f>SUMIF(SIGAF!$B$2:$B$491,$A139,SIGAF!$M$2:$M$491)</f>
        <v>5823793.6800000006</v>
      </c>
      <c r="P139" s="66">
        <f t="shared" si="25"/>
        <v>0.22446457982241697</v>
      </c>
      <c r="Q139" s="13">
        <f>SUMIF(SIGAF!$B$2:$B$491,$A139,SIGAF!$N$2:$N$491)</f>
        <v>5823793.6800000006</v>
      </c>
      <c r="R139" s="66">
        <f t="shared" si="26"/>
        <v>0.22446457982241697</v>
      </c>
    </row>
    <row r="140" spans="1:18" x14ac:dyDescent="0.25">
      <c r="A140" s="11" t="s">
        <v>243</v>
      </c>
      <c r="B140" s="11" t="s">
        <v>506</v>
      </c>
      <c r="C140" s="13">
        <f>SUMIF(SIGAF!$B$2:$B$491,$A140,SIGAF!$F$2:$F$491)</f>
        <v>260806747</v>
      </c>
      <c r="D140" s="13">
        <f>SUMIF(SIGAF!$B$2:$B$491,$A140,SIGAF!$G$2:$G$491)</f>
        <v>260806747</v>
      </c>
      <c r="E140" s="13">
        <f>SUMIF(SIGAF!$B$2:$B$491,$A140,SIGAF!$H$2:$H$491)</f>
        <v>0</v>
      </c>
      <c r="F140" s="66">
        <f t="shared" ref="F140:F200" si="35">+IFERROR(+E140/$C140,0)</f>
        <v>0</v>
      </c>
      <c r="G140" s="13">
        <f>SUMIF(SIGAF!$B$2:$B$491,$A140,SIGAF!$I$2:$I$491)</f>
        <v>20796030.940000001</v>
      </c>
      <c r="H140" s="66">
        <f t="shared" ref="H140:J200" si="36">+IFERROR(+G140/$C140,0)</f>
        <v>7.9737319602395107E-2</v>
      </c>
      <c r="I140" s="13">
        <f>SUMIF(SIGAF!$B$2:$B$491,$A140,SIGAF!$J$2:$J$491)</f>
        <v>0</v>
      </c>
      <c r="J140" s="66">
        <f t="shared" si="36"/>
        <v>0</v>
      </c>
      <c r="K140" s="13">
        <f>SUMIF(SIGAF!$B$2:$B$491,$A140,SIGAF!$K$2:$K$491)</f>
        <v>158357137.47</v>
      </c>
      <c r="L140" s="142">
        <f t="shared" si="27"/>
        <v>0.60718190496045721</v>
      </c>
      <c r="M140" s="13">
        <f>SUMIF(SIGAF!$B$2:$B$491,$A140,SIGAF!$L$2:$L$491)</f>
        <v>124797746.41</v>
      </c>
      <c r="N140" s="66">
        <f t="shared" ref="N140:N200" si="37">+IFERROR(+M140/$C140,0)</f>
        <v>0.47850658713978744</v>
      </c>
      <c r="O140" s="85">
        <f>SUMIF(SIGAF!$B$2:$B$491,$A140,SIGAF!$M$2:$M$491)</f>
        <v>81653578.590000004</v>
      </c>
      <c r="P140" s="66">
        <f t="shared" ref="P140:R200" si="38">+IFERROR(+O140/$C140,0)</f>
        <v>0.31308077543714774</v>
      </c>
      <c r="Q140" s="13">
        <f>SUMIF(SIGAF!$B$2:$B$491,$A140,SIGAF!$N$2:$N$491)</f>
        <v>81653578.590000004</v>
      </c>
      <c r="R140" s="66">
        <f t="shared" ref="R140:R200" si="39">+IFERROR(+Q140/$C140,0)</f>
        <v>0.31308077543714774</v>
      </c>
    </row>
    <row r="141" spans="1:18" x14ac:dyDescent="0.25">
      <c r="A141" s="11" t="s">
        <v>245</v>
      </c>
      <c r="B141" s="11" t="s">
        <v>246</v>
      </c>
      <c r="C141" s="13">
        <f>SUMIF(SIGAF!$B$2:$B$491,$A141,SIGAF!$F$2:$F$491)</f>
        <v>1200239641</v>
      </c>
      <c r="D141" s="13">
        <f>SUMIF(SIGAF!$B$2:$B$491,$A141,SIGAF!$G$2:$G$491)</f>
        <v>1200239641</v>
      </c>
      <c r="E141" s="13">
        <f>SUMIF(SIGAF!$B$2:$B$491,$A141,SIGAF!$H$2:$H$491)</f>
        <v>0</v>
      </c>
      <c r="F141" s="66">
        <f t="shared" si="35"/>
        <v>0</v>
      </c>
      <c r="G141" s="13">
        <f>SUMIF(SIGAF!$B$2:$B$491,$A141,SIGAF!$I$2:$I$491)</f>
        <v>293236817</v>
      </c>
      <c r="H141" s="66">
        <f t="shared" si="36"/>
        <v>0.24431522421279536</v>
      </c>
      <c r="I141" s="13">
        <f>SUMIF(SIGAF!$B$2:$B$491,$A141,SIGAF!$J$2:$J$491)</f>
        <v>0</v>
      </c>
      <c r="J141" s="66">
        <f t="shared" si="36"/>
        <v>0</v>
      </c>
      <c r="K141" s="13">
        <f>SUMIF(SIGAF!$B$2:$B$491,$A141,SIGAF!$K$2:$K$491)</f>
        <v>859375401.88999999</v>
      </c>
      <c r="L141" s="142">
        <f t="shared" si="27"/>
        <v>0.71600318180958999</v>
      </c>
      <c r="M141" s="13">
        <f>SUMIF(SIGAF!$B$2:$B$491,$A141,SIGAF!$L$2:$L$491)</f>
        <v>298999891.88999999</v>
      </c>
      <c r="N141" s="66">
        <f t="shared" si="37"/>
        <v>0.24911682773690358</v>
      </c>
      <c r="O141" s="85">
        <f>SUMIF(SIGAF!$B$2:$B$491,$A141,SIGAF!$M$2:$M$491)</f>
        <v>47627422.109999999</v>
      </c>
      <c r="P141" s="66">
        <f t="shared" si="38"/>
        <v>3.9681593977614678E-2</v>
      </c>
      <c r="Q141" s="13">
        <f>SUMIF(SIGAF!$B$2:$B$491,$A141,SIGAF!$N$2:$N$491)</f>
        <v>47627422.109999999</v>
      </c>
      <c r="R141" s="66">
        <f t="shared" si="39"/>
        <v>3.9681593977614678E-2</v>
      </c>
    </row>
    <row r="142" spans="1:18" x14ac:dyDescent="0.25">
      <c r="A142" s="11" t="s">
        <v>247</v>
      </c>
      <c r="B142" s="11" t="s">
        <v>507</v>
      </c>
      <c r="C142" s="13">
        <f>SUMIF(SIGAF!$B$2:$B$491,$A142,SIGAF!$F$2:$F$491)</f>
        <v>332221981</v>
      </c>
      <c r="D142" s="13">
        <f>SUMIF(SIGAF!$B$2:$B$491,$A142,SIGAF!$G$2:$G$491)</f>
        <v>332221981</v>
      </c>
      <c r="E142" s="13">
        <f>SUMIF(SIGAF!$B$2:$B$491,$A142,SIGAF!$H$2:$H$491)</f>
        <v>0</v>
      </c>
      <c r="F142" s="66">
        <f t="shared" si="35"/>
        <v>0</v>
      </c>
      <c r="G142" s="13">
        <f>SUMIF(SIGAF!$B$2:$B$491,$A142,SIGAF!$I$2:$I$491)</f>
        <v>34925514.210000001</v>
      </c>
      <c r="H142" s="66">
        <f t="shared" si="36"/>
        <v>0.10512704218087243</v>
      </c>
      <c r="I142" s="13">
        <f>SUMIF(SIGAF!$B$2:$B$491,$A142,SIGAF!$J$2:$J$491)</f>
        <v>0</v>
      </c>
      <c r="J142" s="66">
        <f t="shared" si="36"/>
        <v>0</v>
      </c>
      <c r="K142" s="13">
        <f>SUMIF(SIGAF!$B$2:$B$491,$A142,SIGAF!$K$2:$K$491)</f>
        <v>281714567.16000003</v>
      </c>
      <c r="L142" s="142">
        <f t="shared" ref="L142:L198" si="40">+IFERROR(+K142/$C142,0)</f>
        <v>0.84797088474407722</v>
      </c>
      <c r="M142" s="13">
        <f>SUMIF(SIGAF!$B$2:$B$491,$A142,SIGAF!$L$2:$L$491)</f>
        <v>259186147.25</v>
      </c>
      <c r="N142" s="66">
        <f t="shared" si="37"/>
        <v>0.78015953811918304</v>
      </c>
      <c r="O142" s="85">
        <f>SUMIF(SIGAF!$B$2:$B$491,$A142,SIGAF!$M$2:$M$491)</f>
        <v>15581899.630000001</v>
      </c>
      <c r="P142" s="66">
        <f t="shared" si="38"/>
        <v>4.6902073075050385E-2</v>
      </c>
      <c r="Q142" s="13">
        <f>SUMIF(SIGAF!$B$2:$B$491,$A142,SIGAF!$N$2:$N$491)</f>
        <v>15581899.630000001</v>
      </c>
      <c r="R142" s="66">
        <f t="shared" si="39"/>
        <v>4.6902073075050385E-2</v>
      </c>
    </row>
    <row r="143" spans="1:18" x14ac:dyDescent="0.25">
      <c r="A143" s="11" t="s">
        <v>249</v>
      </c>
      <c r="B143" s="11" t="s">
        <v>508</v>
      </c>
      <c r="C143" s="13">
        <f>SUMIF(SIGAF!$B$2:$B$491,$A143,SIGAF!$F$2:$F$491)</f>
        <v>784617967</v>
      </c>
      <c r="D143" s="13">
        <f>SUMIF(SIGAF!$B$2:$B$491,$A143,SIGAF!$G$2:$G$491)</f>
        <v>784617967</v>
      </c>
      <c r="E143" s="13">
        <f>SUMIF(SIGAF!$B$2:$B$491,$A143,SIGAF!$H$2:$H$491)</f>
        <v>0</v>
      </c>
      <c r="F143" s="66">
        <f t="shared" si="35"/>
        <v>0</v>
      </c>
      <c r="G143" s="13">
        <f>SUMIF(SIGAF!$B$2:$B$491,$A143,SIGAF!$I$2:$I$491)</f>
        <v>425293.25</v>
      </c>
      <c r="H143" s="66">
        <f t="shared" si="36"/>
        <v>5.4203863266873164E-4</v>
      </c>
      <c r="I143" s="13">
        <f>SUMIF(SIGAF!$B$2:$B$491,$A143,SIGAF!$J$2:$J$491)</f>
        <v>0</v>
      </c>
      <c r="J143" s="66">
        <f t="shared" si="36"/>
        <v>0</v>
      </c>
      <c r="K143" s="13">
        <f>SUMIF(SIGAF!$B$2:$B$491,$A143,SIGAF!$K$2:$K$491)</f>
        <v>776956852.45000005</v>
      </c>
      <c r="L143" s="142">
        <f t="shared" si="40"/>
        <v>0.99023586653350248</v>
      </c>
      <c r="M143" s="13">
        <f>SUMIF(SIGAF!$B$2:$B$491,$A143,SIGAF!$L$2:$L$491)</f>
        <v>767707400.99000001</v>
      </c>
      <c r="N143" s="66">
        <f t="shared" si="37"/>
        <v>0.97844738876595216</v>
      </c>
      <c r="O143" s="85">
        <f>SUMIF(SIGAF!$B$2:$B$491,$A143,SIGAF!$M$2:$M$491)</f>
        <v>7235821.2999999998</v>
      </c>
      <c r="P143" s="66">
        <f t="shared" si="38"/>
        <v>9.2220948338288568E-3</v>
      </c>
      <c r="Q143" s="13">
        <f>SUMIF(SIGAF!$B$2:$B$491,$A143,SIGAF!$N$2:$N$491)</f>
        <v>7235821.2999999998</v>
      </c>
      <c r="R143" s="66">
        <f t="shared" si="39"/>
        <v>9.2220948338288568E-3</v>
      </c>
    </row>
    <row r="144" spans="1:18" x14ac:dyDescent="0.25">
      <c r="A144" s="11" t="s">
        <v>251</v>
      </c>
      <c r="B144" s="11" t="s">
        <v>509</v>
      </c>
      <c r="C144" s="13">
        <f>SUMIF(SIGAF!$B$2:$B$491,$A144,SIGAF!$F$2:$F$491)</f>
        <v>112559000</v>
      </c>
      <c r="D144" s="13">
        <f>SUMIF(SIGAF!$B$2:$B$491,$A144,SIGAF!$G$2:$G$491)</f>
        <v>112559000</v>
      </c>
      <c r="E144" s="13">
        <f>SUMIF(SIGAF!$B$2:$B$491,$A144,SIGAF!$H$2:$H$491)</f>
        <v>0</v>
      </c>
      <c r="F144" s="66">
        <f t="shared" si="35"/>
        <v>0</v>
      </c>
      <c r="G144" s="13">
        <f>SUMIF(SIGAF!$B$2:$B$491,$A144,SIGAF!$I$2:$I$491)</f>
        <v>34005576.770000003</v>
      </c>
      <c r="H144" s="66">
        <f t="shared" si="36"/>
        <v>0.30211335184214505</v>
      </c>
      <c r="I144" s="13">
        <f>SUMIF(SIGAF!$B$2:$B$491,$A144,SIGAF!$J$2:$J$491)</f>
        <v>0</v>
      </c>
      <c r="J144" s="66">
        <f t="shared" si="36"/>
        <v>0</v>
      </c>
      <c r="K144" s="13">
        <f>SUMIF(SIGAF!$B$2:$B$491,$A144,SIGAF!$K$2:$K$491)</f>
        <v>63023805.880000003</v>
      </c>
      <c r="L144" s="142">
        <f t="shared" si="40"/>
        <v>0.5599179619577288</v>
      </c>
      <c r="M144" s="13">
        <f>SUMIF(SIGAF!$B$2:$B$491,$A144,SIGAF!$L$2:$L$491)</f>
        <v>52439805.880000003</v>
      </c>
      <c r="N144" s="66">
        <f t="shared" si="37"/>
        <v>0.46588727582867656</v>
      </c>
      <c r="O144" s="85">
        <f>SUMIF(SIGAF!$B$2:$B$491,$A144,SIGAF!$M$2:$M$491)</f>
        <v>15529617.35</v>
      </c>
      <c r="P144" s="66">
        <f t="shared" si="38"/>
        <v>0.13796868620012614</v>
      </c>
      <c r="Q144" s="13">
        <f>SUMIF(SIGAF!$B$2:$B$491,$A144,SIGAF!$N$2:$N$491)</f>
        <v>15529617.35</v>
      </c>
      <c r="R144" s="66">
        <f t="shared" si="39"/>
        <v>0.13796868620012614</v>
      </c>
    </row>
    <row r="145" spans="1:18" x14ac:dyDescent="0.25">
      <c r="A145" s="11" t="s">
        <v>253</v>
      </c>
      <c r="B145" s="11" t="s">
        <v>510</v>
      </c>
      <c r="C145" s="13">
        <f>SUMIF(SIGAF!$B$2:$B$491,$A145,SIGAF!$F$2:$F$491)</f>
        <v>230529687</v>
      </c>
      <c r="D145" s="13">
        <f>SUMIF(SIGAF!$B$2:$B$491,$A145,SIGAF!$G$2:$G$491)</f>
        <v>230529687</v>
      </c>
      <c r="E145" s="13">
        <f>SUMIF(SIGAF!$B$2:$B$491,$A145,SIGAF!$H$2:$H$491)</f>
        <v>0</v>
      </c>
      <c r="F145" s="66">
        <f t="shared" si="35"/>
        <v>0</v>
      </c>
      <c r="G145" s="13">
        <f>SUMIF(SIGAF!$B$2:$B$491,$A145,SIGAF!$I$2:$I$491)</f>
        <v>27405971.25</v>
      </c>
      <c r="H145" s="66">
        <f t="shared" si="36"/>
        <v>0.11888261163517738</v>
      </c>
      <c r="I145" s="13">
        <f>SUMIF(SIGAF!$B$2:$B$491,$A145,SIGAF!$J$2:$J$491)</f>
        <v>0</v>
      </c>
      <c r="J145" s="66">
        <f t="shared" si="36"/>
        <v>0</v>
      </c>
      <c r="K145" s="13">
        <f>SUMIF(SIGAF!$B$2:$B$491,$A145,SIGAF!$K$2:$K$491)</f>
        <v>159477391.31</v>
      </c>
      <c r="L145" s="142">
        <f t="shared" si="40"/>
        <v>0.69178678627191303</v>
      </c>
      <c r="M145" s="13">
        <f>SUMIF(SIGAF!$B$2:$B$491,$A145,SIGAF!$L$2:$L$491)</f>
        <v>126565270.90000001</v>
      </c>
      <c r="N145" s="66">
        <f t="shared" si="37"/>
        <v>0.54901940200005561</v>
      </c>
      <c r="O145" s="85">
        <f>SUMIF(SIGAF!$B$2:$B$491,$A145,SIGAF!$M$2:$M$491)</f>
        <v>43646324.439999998</v>
      </c>
      <c r="P145" s="66">
        <f t="shared" si="38"/>
        <v>0.18933060209290961</v>
      </c>
      <c r="Q145" s="13">
        <f>SUMIF(SIGAF!$B$2:$B$491,$A145,SIGAF!$N$2:$N$491)</f>
        <v>43646324.439999998</v>
      </c>
      <c r="R145" s="66">
        <f t="shared" si="39"/>
        <v>0.18933060209290961</v>
      </c>
    </row>
    <row r="146" spans="1:18" s="23" customFormat="1" x14ac:dyDescent="0.25">
      <c r="A146" s="21" t="s">
        <v>285</v>
      </c>
      <c r="B146" s="21" t="s">
        <v>286</v>
      </c>
      <c r="C146" s="35">
        <f>SUMIF(SIGAF!$B$2:$B$491,$A146,SIGAF!$F$2:$F$491)</f>
        <v>3939399444</v>
      </c>
      <c r="D146" s="35">
        <f>SUMIF(SIGAF!$B$2:$B$491,$A146,SIGAF!$G$2:$G$491)</f>
        <v>3939399444</v>
      </c>
      <c r="E146" s="35">
        <f>SUMIF(SIGAF!$B$2:$B$491,$A146,SIGAF!$H$2:$H$491)</f>
        <v>0</v>
      </c>
      <c r="F146" s="65">
        <f t="shared" si="35"/>
        <v>0</v>
      </c>
      <c r="G146" s="35">
        <f>SUMIF(SIGAF!$B$2:$B$491,$A146,SIGAF!$I$2:$I$491)</f>
        <v>788244237.63</v>
      </c>
      <c r="H146" s="65">
        <f t="shared" si="36"/>
        <v>0.20009248841991764</v>
      </c>
      <c r="I146" s="35">
        <f>SUMIF(SIGAF!$B$2:$B$491,$A146,SIGAF!$J$2:$J$491)</f>
        <v>0</v>
      </c>
      <c r="J146" s="65">
        <f t="shared" si="36"/>
        <v>0</v>
      </c>
      <c r="K146" s="35">
        <f>SUMIF(SIGAF!$B$2:$B$491,$A146,SIGAF!$K$2:$K$491)</f>
        <v>2785787519.5600004</v>
      </c>
      <c r="L146" s="141">
        <f t="shared" si="40"/>
        <v>0.70716045914129455</v>
      </c>
      <c r="M146" s="35">
        <f>SUMIF(SIGAF!$B$2:$B$491,$A146,SIGAF!$L$2:$L$491)</f>
        <v>1968155853.1299999</v>
      </c>
      <c r="N146" s="65">
        <f t="shared" si="37"/>
        <v>0.49960809537292505</v>
      </c>
      <c r="O146" s="86">
        <f>SUMIF(SIGAF!$B$2:$B$491,$A146,SIGAF!$M$2:$M$491)</f>
        <v>365367686.80999994</v>
      </c>
      <c r="P146" s="65">
        <f t="shared" si="38"/>
        <v>9.2747052438787905E-2</v>
      </c>
      <c r="Q146" s="35">
        <f>SUMIF(SIGAF!$B$2:$B$491,$A146,SIGAF!$N$2:$N$491)</f>
        <v>365367686.80999994</v>
      </c>
      <c r="R146" s="65">
        <f t="shared" si="39"/>
        <v>9.2747052438787905E-2</v>
      </c>
    </row>
    <row r="147" spans="1:18" x14ac:dyDescent="0.25">
      <c r="A147" s="11" t="s">
        <v>287</v>
      </c>
      <c r="B147" s="11" t="s">
        <v>511</v>
      </c>
      <c r="C147" s="13">
        <f>SUMIF(SIGAF!$B$2:$B$491,$A147,SIGAF!$F$2:$F$491)</f>
        <v>1660534663</v>
      </c>
      <c r="D147" s="13">
        <f>SUMIF(SIGAF!$B$2:$B$491,$A147,SIGAF!$G$2:$G$491)</f>
        <v>1660534663</v>
      </c>
      <c r="E147" s="13">
        <f>SUMIF(SIGAF!$B$2:$B$491,$A147,SIGAF!$H$2:$H$491)</f>
        <v>0</v>
      </c>
      <c r="F147" s="66">
        <f t="shared" si="35"/>
        <v>0</v>
      </c>
      <c r="G147" s="13">
        <f>SUMIF(SIGAF!$B$2:$B$491,$A147,SIGAF!$I$2:$I$491)</f>
        <v>142828736.31</v>
      </c>
      <c r="H147" s="66">
        <f t="shared" si="36"/>
        <v>8.6013703593491322E-2</v>
      </c>
      <c r="I147" s="13">
        <f>SUMIF(SIGAF!$B$2:$B$491,$A147,SIGAF!$J$2:$J$491)</f>
        <v>0</v>
      </c>
      <c r="J147" s="66">
        <f t="shared" si="36"/>
        <v>0</v>
      </c>
      <c r="K147" s="13">
        <f>SUMIF(SIGAF!$B$2:$B$491,$A147,SIGAF!$K$2:$K$491)</f>
        <v>1395113472.3999999</v>
      </c>
      <c r="L147" s="142">
        <f t="shared" si="40"/>
        <v>0.84015919901336011</v>
      </c>
      <c r="M147" s="13">
        <f>SUMIF(SIGAF!$B$2:$B$491,$A147,SIGAF!$L$2:$L$491)</f>
        <v>954171236.32999992</v>
      </c>
      <c r="N147" s="66">
        <f t="shared" si="37"/>
        <v>0.57461687346300216</v>
      </c>
      <c r="O147" s="85">
        <f>SUMIF(SIGAF!$B$2:$B$491,$A147,SIGAF!$M$2:$M$491)</f>
        <v>122592454.28999999</v>
      </c>
      <c r="P147" s="66">
        <f t="shared" si="38"/>
        <v>7.382709739314848E-2</v>
      </c>
      <c r="Q147" s="13">
        <f>SUMIF(SIGAF!$B$2:$B$491,$A147,SIGAF!$N$2:$N$491)</f>
        <v>122592454.28999999</v>
      </c>
      <c r="R147" s="66">
        <f t="shared" si="39"/>
        <v>7.382709739314848E-2</v>
      </c>
    </row>
    <row r="148" spans="1:18" x14ac:dyDescent="0.25">
      <c r="A148" s="11" t="s">
        <v>289</v>
      </c>
      <c r="B148" s="11" t="s">
        <v>512</v>
      </c>
      <c r="C148" s="13">
        <f>SUMIF(SIGAF!$B$2:$B$491,$A148,SIGAF!$F$2:$F$491)</f>
        <v>59455528</v>
      </c>
      <c r="D148" s="13">
        <f>SUMIF(SIGAF!$B$2:$B$491,$A148,SIGAF!$G$2:$G$491)</f>
        <v>59455528</v>
      </c>
      <c r="E148" s="13">
        <f>SUMIF(SIGAF!$B$2:$B$491,$A148,SIGAF!$H$2:$H$491)</f>
        <v>0</v>
      </c>
      <c r="F148" s="66">
        <f t="shared" si="35"/>
        <v>0</v>
      </c>
      <c r="G148" s="13">
        <f>SUMIF(SIGAF!$B$2:$B$491,$A148,SIGAF!$I$2:$I$491)</f>
        <v>0</v>
      </c>
      <c r="H148" s="66">
        <f t="shared" si="36"/>
        <v>0</v>
      </c>
      <c r="I148" s="13">
        <f>SUMIF(SIGAF!$B$2:$B$491,$A148,SIGAF!$J$2:$J$491)</f>
        <v>0</v>
      </c>
      <c r="J148" s="66">
        <f t="shared" si="36"/>
        <v>0</v>
      </c>
      <c r="K148" s="13">
        <f>SUMIF(SIGAF!$B$2:$B$491,$A148,SIGAF!$K$2:$K$491)</f>
        <v>55229745.359999999</v>
      </c>
      <c r="L148" s="142">
        <f t="shared" si="40"/>
        <v>0.92892531977850734</v>
      </c>
      <c r="M148" s="13">
        <f>SUMIF(SIGAF!$B$2:$B$491,$A148,SIGAF!$L$2:$L$491)</f>
        <v>50529745.359999999</v>
      </c>
      <c r="N148" s="66">
        <f t="shared" si="37"/>
        <v>0.84987463840200017</v>
      </c>
      <c r="O148" s="85">
        <f>SUMIF(SIGAF!$B$2:$B$491,$A148,SIGAF!$M$2:$M$491)</f>
        <v>4225782.6400000006</v>
      </c>
      <c r="P148" s="66">
        <f t="shared" si="38"/>
        <v>7.1074680221492617E-2</v>
      </c>
      <c r="Q148" s="13">
        <f>SUMIF(SIGAF!$B$2:$B$491,$A148,SIGAF!$N$2:$N$491)</f>
        <v>4225782.6400000006</v>
      </c>
      <c r="R148" s="66">
        <f t="shared" si="39"/>
        <v>7.1074680221492617E-2</v>
      </c>
    </row>
    <row r="149" spans="1:18" x14ac:dyDescent="0.25">
      <c r="A149" s="11" t="s">
        <v>410</v>
      </c>
      <c r="B149" s="11" t="s">
        <v>513</v>
      </c>
      <c r="C149" s="13">
        <f>SUMIF(SIGAF!$B$2:$B$491,$A149,SIGAF!$F$2:$F$491)</f>
        <v>187115000</v>
      </c>
      <c r="D149" s="13">
        <f>SUMIF(SIGAF!$B$2:$B$491,$A149,SIGAF!$G$2:$G$491)</f>
        <v>187115000</v>
      </c>
      <c r="E149" s="13">
        <f>SUMIF(SIGAF!$B$2:$B$491,$A149,SIGAF!$H$2:$H$491)</f>
        <v>0</v>
      </c>
      <c r="F149" s="66">
        <f t="shared" si="35"/>
        <v>0</v>
      </c>
      <c r="G149" s="13">
        <f>SUMIF(SIGAF!$B$2:$B$491,$A149,SIGAF!$I$2:$I$491)</f>
        <v>31538951.91</v>
      </c>
      <c r="H149" s="66">
        <f t="shared" si="36"/>
        <v>0.1685538407396521</v>
      </c>
      <c r="I149" s="13">
        <f>SUMIF(SIGAF!$B$2:$B$491,$A149,SIGAF!$J$2:$J$491)</f>
        <v>0</v>
      </c>
      <c r="J149" s="66">
        <f t="shared" si="36"/>
        <v>0</v>
      </c>
      <c r="K149" s="13">
        <f>SUMIF(SIGAF!$B$2:$B$491,$A149,SIGAF!$K$2:$K$491)</f>
        <v>149908360.56</v>
      </c>
      <c r="L149" s="142">
        <f t="shared" si="40"/>
        <v>0.80115629725035409</v>
      </c>
      <c r="M149" s="13">
        <f>SUMIF(SIGAF!$B$2:$B$491,$A149,SIGAF!$L$2:$L$491)</f>
        <v>98650000</v>
      </c>
      <c r="N149" s="66">
        <f t="shared" si="37"/>
        <v>0.52721588328033564</v>
      </c>
      <c r="O149" s="85">
        <f>SUMIF(SIGAF!$B$2:$B$491,$A149,SIGAF!$M$2:$M$491)</f>
        <v>5667687.5299999993</v>
      </c>
      <c r="P149" s="66">
        <f t="shared" si="38"/>
        <v>3.028986200999385E-2</v>
      </c>
      <c r="Q149" s="13">
        <f>SUMIF(SIGAF!$B$2:$B$491,$A149,SIGAF!$N$2:$N$491)</f>
        <v>5667687.5299999993</v>
      </c>
      <c r="R149" s="66">
        <f t="shared" si="39"/>
        <v>3.028986200999385E-2</v>
      </c>
    </row>
    <row r="150" spans="1:18" x14ac:dyDescent="0.25">
      <c r="A150" s="11" t="s">
        <v>291</v>
      </c>
      <c r="B150" s="11" t="s">
        <v>514</v>
      </c>
      <c r="C150" s="13">
        <f>SUMIF(SIGAF!$B$2:$B$491,$A150,SIGAF!$F$2:$F$491)</f>
        <v>304861325</v>
      </c>
      <c r="D150" s="13">
        <f>SUMIF(SIGAF!$B$2:$B$491,$A150,SIGAF!$G$2:$G$491)</f>
        <v>304861325</v>
      </c>
      <c r="E150" s="13">
        <f>SUMIF(SIGAF!$B$2:$B$491,$A150,SIGAF!$H$2:$H$491)</f>
        <v>0</v>
      </c>
      <c r="F150" s="66">
        <f t="shared" si="35"/>
        <v>0</v>
      </c>
      <c r="G150" s="13">
        <f>SUMIF(SIGAF!$B$2:$B$491,$A150,SIGAF!$I$2:$I$491)</f>
        <v>16197.33</v>
      </c>
      <c r="H150" s="66">
        <f t="shared" si="36"/>
        <v>5.3130156801621195E-5</v>
      </c>
      <c r="I150" s="13">
        <f>SUMIF(SIGAF!$B$2:$B$491,$A150,SIGAF!$J$2:$J$491)</f>
        <v>0</v>
      </c>
      <c r="J150" s="66">
        <f t="shared" si="36"/>
        <v>0</v>
      </c>
      <c r="K150" s="13">
        <f>SUMIF(SIGAF!$B$2:$B$491,$A150,SIGAF!$K$2:$K$491)</f>
        <v>276285593.19999999</v>
      </c>
      <c r="L150" s="142">
        <f t="shared" si="40"/>
        <v>0.90626645803628914</v>
      </c>
      <c r="M150" s="13">
        <f>SUMIF(SIGAF!$B$2:$B$491,$A150,SIGAF!$L$2:$L$491)</f>
        <v>43422493.620000005</v>
      </c>
      <c r="N150" s="66">
        <f t="shared" si="37"/>
        <v>0.14243359212586248</v>
      </c>
      <c r="O150" s="85">
        <f>SUMIF(SIGAF!$B$2:$B$491,$A150,SIGAF!$M$2:$M$491)</f>
        <v>28559534.469999999</v>
      </c>
      <c r="P150" s="66">
        <f t="shared" si="38"/>
        <v>9.3680411806909253E-2</v>
      </c>
      <c r="Q150" s="13">
        <f>SUMIF(SIGAF!$B$2:$B$491,$A150,SIGAF!$N$2:$N$491)</f>
        <v>28559534.469999999</v>
      </c>
      <c r="R150" s="66">
        <f t="shared" si="39"/>
        <v>9.3680411806909253E-2</v>
      </c>
    </row>
    <row r="151" spans="1:18" x14ac:dyDescent="0.25">
      <c r="A151" s="11" t="s">
        <v>293</v>
      </c>
      <c r="B151" s="11" t="s">
        <v>515</v>
      </c>
      <c r="C151" s="13">
        <f>SUMIF(SIGAF!$B$2:$B$491,$A151,SIGAF!$F$2:$F$491)</f>
        <v>139093410</v>
      </c>
      <c r="D151" s="13">
        <f>SUMIF(SIGAF!$B$2:$B$491,$A151,SIGAF!$G$2:$G$491)</f>
        <v>139093410</v>
      </c>
      <c r="E151" s="13">
        <f>SUMIF(SIGAF!$B$2:$B$491,$A151,SIGAF!$H$2:$H$491)</f>
        <v>0</v>
      </c>
      <c r="F151" s="66">
        <f t="shared" si="35"/>
        <v>0</v>
      </c>
      <c r="G151" s="13">
        <f>SUMIF(SIGAF!$B$2:$B$491,$A151,SIGAF!$I$2:$I$491)</f>
        <v>10755004</v>
      </c>
      <c r="H151" s="66">
        <f t="shared" si="36"/>
        <v>7.732216788703361E-2</v>
      </c>
      <c r="I151" s="13">
        <f>SUMIF(SIGAF!$B$2:$B$491,$A151,SIGAF!$J$2:$J$491)</f>
        <v>0</v>
      </c>
      <c r="J151" s="66">
        <f t="shared" si="36"/>
        <v>0</v>
      </c>
      <c r="K151" s="13">
        <f>SUMIF(SIGAF!$B$2:$B$491,$A151,SIGAF!$K$2:$K$491)</f>
        <v>101222137.55</v>
      </c>
      <c r="L151" s="142">
        <f t="shared" si="40"/>
        <v>0.72772777337186567</v>
      </c>
      <c r="M151" s="13">
        <f>SUMIF(SIGAF!$B$2:$B$491,$A151,SIGAF!$L$2:$L$491)</f>
        <v>77033986.469999999</v>
      </c>
      <c r="N151" s="66">
        <f t="shared" si="37"/>
        <v>0.55382916034627372</v>
      </c>
      <c r="O151" s="85">
        <f>SUMIF(SIGAF!$B$2:$B$491,$A151,SIGAF!$M$2:$M$491)</f>
        <v>27116268.449999999</v>
      </c>
      <c r="P151" s="66">
        <f t="shared" si="38"/>
        <v>0.19495005874110066</v>
      </c>
      <c r="Q151" s="13">
        <f>SUMIF(SIGAF!$B$2:$B$491,$A151,SIGAF!$N$2:$N$491)</f>
        <v>27116268.449999999</v>
      </c>
      <c r="R151" s="66">
        <f t="shared" si="39"/>
        <v>0.19495005874110066</v>
      </c>
    </row>
    <row r="152" spans="1:18" x14ac:dyDescent="0.25">
      <c r="A152" s="11" t="s">
        <v>295</v>
      </c>
      <c r="B152" s="11" t="s">
        <v>516</v>
      </c>
      <c r="C152" s="13">
        <f>SUMIF(SIGAF!$B$2:$B$491,$A152,SIGAF!$F$2:$F$491)</f>
        <v>215530400</v>
      </c>
      <c r="D152" s="13">
        <f>SUMIF(SIGAF!$B$2:$B$491,$A152,SIGAF!$G$2:$G$491)</f>
        <v>215530400</v>
      </c>
      <c r="E152" s="13">
        <f>SUMIF(SIGAF!$B$2:$B$491,$A152,SIGAF!$H$2:$H$491)</f>
        <v>0</v>
      </c>
      <c r="F152" s="66">
        <f t="shared" si="35"/>
        <v>0</v>
      </c>
      <c r="G152" s="13">
        <f>SUMIF(SIGAF!$B$2:$B$491,$A152,SIGAF!$I$2:$I$491)</f>
        <v>15613250.310000001</v>
      </c>
      <c r="H152" s="66">
        <f t="shared" si="36"/>
        <v>7.2441058477133627E-2</v>
      </c>
      <c r="I152" s="13">
        <f>SUMIF(SIGAF!$B$2:$B$491,$A152,SIGAF!$J$2:$J$491)</f>
        <v>0</v>
      </c>
      <c r="J152" s="66">
        <f t="shared" si="36"/>
        <v>0</v>
      </c>
      <c r="K152" s="13">
        <f>SUMIF(SIGAF!$B$2:$B$491,$A152,SIGAF!$K$2:$K$491)</f>
        <v>187943269.47000003</v>
      </c>
      <c r="L152" s="142">
        <f t="shared" si="40"/>
        <v>0.87200352929331559</v>
      </c>
      <c r="M152" s="13">
        <f>SUMIF(SIGAF!$B$2:$B$491,$A152,SIGAF!$L$2:$L$491)</f>
        <v>156227065.80000001</v>
      </c>
      <c r="N152" s="66">
        <f t="shared" si="37"/>
        <v>0.72484932891137399</v>
      </c>
      <c r="O152" s="85">
        <f>SUMIF(SIGAF!$B$2:$B$491,$A152,SIGAF!$M$2:$M$491)</f>
        <v>11973880.220000001</v>
      </c>
      <c r="P152" s="66">
        <f t="shared" si="38"/>
        <v>5.5555412229550918E-2</v>
      </c>
      <c r="Q152" s="13">
        <f>SUMIF(SIGAF!$B$2:$B$491,$A152,SIGAF!$N$2:$N$491)</f>
        <v>11973880.220000001</v>
      </c>
      <c r="R152" s="66">
        <f t="shared" si="39"/>
        <v>5.5555412229550918E-2</v>
      </c>
    </row>
    <row r="153" spans="1:18" x14ac:dyDescent="0.25">
      <c r="A153" s="11" t="s">
        <v>297</v>
      </c>
      <c r="B153" s="11" t="s">
        <v>517</v>
      </c>
      <c r="C153" s="13">
        <f>SUMIF(SIGAF!$B$2:$B$491,$A153,SIGAF!$F$2:$F$491)</f>
        <v>58305000</v>
      </c>
      <c r="D153" s="13">
        <f>SUMIF(SIGAF!$B$2:$B$491,$A153,SIGAF!$G$2:$G$491)</f>
        <v>58305000</v>
      </c>
      <c r="E153" s="13">
        <f>SUMIF(SIGAF!$B$2:$B$491,$A153,SIGAF!$H$2:$H$491)</f>
        <v>0</v>
      </c>
      <c r="F153" s="66">
        <f t="shared" si="35"/>
        <v>0</v>
      </c>
      <c r="G153" s="13">
        <f>SUMIF(SIGAF!$B$2:$B$491,$A153,SIGAF!$I$2:$I$491)</f>
        <v>16335295.529999999</v>
      </c>
      <c r="H153" s="66">
        <f t="shared" si="36"/>
        <v>0.28016972009261643</v>
      </c>
      <c r="I153" s="13">
        <f>SUMIF(SIGAF!$B$2:$B$491,$A153,SIGAF!$J$2:$J$491)</f>
        <v>0</v>
      </c>
      <c r="J153" s="66">
        <f t="shared" si="36"/>
        <v>0</v>
      </c>
      <c r="K153" s="13">
        <f>SUMIF(SIGAF!$B$2:$B$491,$A153,SIGAF!$K$2:$K$491)</f>
        <v>40805935.530000001</v>
      </c>
      <c r="L153" s="142">
        <f t="shared" si="40"/>
        <v>0.69987026035502964</v>
      </c>
      <c r="M153" s="13">
        <f>SUMIF(SIGAF!$B$2:$B$491,$A153,SIGAF!$L$2:$L$491)</f>
        <v>20418362.710000001</v>
      </c>
      <c r="N153" s="66">
        <f t="shared" si="37"/>
        <v>0.350199171769145</v>
      </c>
      <c r="O153" s="85">
        <f>SUMIF(SIGAF!$B$2:$B$491,$A153,SIGAF!$M$2:$M$491)</f>
        <v>1163768.94</v>
      </c>
      <c r="P153" s="66">
        <f t="shared" si="38"/>
        <v>1.9960019552353998E-2</v>
      </c>
      <c r="Q153" s="13">
        <f>SUMIF(SIGAF!$B$2:$B$491,$A153,SIGAF!$N$2:$N$491)</f>
        <v>1163768.94</v>
      </c>
      <c r="R153" s="66">
        <f t="shared" si="39"/>
        <v>1.9960019552353998E-2</v>
      </c>
    </row>
    <row r="154" spans="1:18" x14ac:dyDescent="0.25">
      <c r="A154" s="11" t="s">
        <v>299</v>
      </c>
      <c r="B154" s="11" t="s">
        <v>518</v>
      </c>
      <c r="C154" s="13">
        <f>SUMIF(SIGAF!$B$2:$B$491,$A154,SIGAF!$F$2:$F$491)</f>
        <v>8076000</v>
      </c>
      <c r="D154" s="13">
        <f>SUMIF(SIGAF!$B$2:$B$491,$A154,SIGAF!$G$2:$G$491)</f>
        <v>8076000</v>
      </c>
      <c r="E154" s="13">
        <f>SUMIF(SIGAF!$B$2:$B$491,$A154,SIGAF!$H$2:$H$491)</f>
        <v>0</v>
      </c>
      <c r="F154" s="66">
        <f t="shared" si="35"/>
        <v>0</v>
      </c>
      <c r="G154" s="13">
        <f>SUMIF(SIGAF!$B$2:$B$491,$A154,SIGAF!$I$2:$I$491)</f>
        <v>3981450</v>
      </c>
      <c r="H154" s="66">
        <f t="shared" si="36"/>
        <v>0.49299777117384846</v>
      </c>
      <c r="I154" s="13">
        <f>SUMIF(SIGAF!$B$2:$B$491,$A154,SIGAF!$J$2:$J$491)</f>
        <v>0</v>
      </c>
      <c r="J154" s="66">
        <f t="shared" si="36"/>
        <v>0</v>
      </c>
      <c r="K154" s="13">
        <f>SUMIF(SIGAF!$B$2:$B$491,$A154,SIGAF!$K$2:$K$491)</f>
        <v>3379289</v>
      </c>
      <c r="L154" s="142">
        <f t="shared" si="40"/>
        <v>0.41843598315998021</v>
      </c>
      <c r="M154" s="13">
        <f>SUMIF(SIGAF!$B$2:$B$491,$A154,SIGAF!$L$2:$L$491)</f>
        <v>295119</v>
      </c>
      <c r="N154" s="66">
        <f t="shared" si="37"/>
        <v>3.6542719167904907E-2</v>
      </c>
      <c r="O154" s="85">
        <f>SUMIF(SIGAF!$B$2:$B$491,$A154,SIGAF!$M$2:$M$491)</f>
        <v>715261</v>
      </c>
      <c r="P154" s="66">
        <f t="shared" si="38"/>
        <v>8.856624566617137E-2</v>
      </c>
      <c r="Q154" s="13">
        <f>SUMIF(SIGAF!$B$2:$B$491,$A154,SIGAF!$N$2:$N$491)</f>
        <v>715261</v>
      </c>
      <c r="R154" s="66">
        <f t="shared" si="39"/>
        <v>8.856624566617137E-2</v>
      </c>
    </row>
    <row r="155" spans="1:18" x14ac:dyDescent="0.25">
      <c r="A155" s="11" t="s">
        <v>301</v>
      </c>
      <c r="B155" s="11" t="s">
        <v>519</v>
      </c>
      <c r="C155" s="13">
        <f>SUMIF(SIGAF!$B$2:$B$491,$A155,SIGAF!$F$2:$F$491)</f>
        <v>688098000</v>
      </c>
      <c r="D155" s="13">
        <f>SUMIF(SIGAF!$B$2:$B$491,$A155,SIGAF!$G$2:$G$491)</f>
        <v>688098000</v>
      </c>
      <c r="E155" s="13">
        <f>SUMIF(SIGAF!$B$2:$B$491,$A155,SIGAF!$H$2:$H$491)</f>
        <v>0</v>
      </c>
      <c r="F155" s="66">
        <f t="shared" si="35"/>
        <v>0</v>
      </c>
      <c r="G155" s="13">
        <f>SUMIF(SIGAF!$B$2:$B$491,$A155,SIGAF!$I$2:$I$491)</f>
        <v>64588587.229999997</v>
      </c>
      <c r="H155" s="66">
        <f t="shared" si="36"/>
        <v>9.3865390147914979E-2</v>
      </c>
      <c r="I155" s="13">
        <f>SUMIF(SIGAF!$B$2:$B$491,$A155,SIGAF!$J$2:$J$491)</f>
        <v>0</v>
      </c>
      <c r="J155" s="66">
        <f t="shared" si="36"/>
        <v>0</v>
      </c>
      <c r="K155" s="13">
        <f>SUMIF(SIGAF!$B$2:$B$491,$A155,SIGAF!$K$2:$K$491)</f>
        <v>580339141.73000002</v>
      </c>
      <c r="L155" s="142">
        <f t="shared" si="40"/>
        <v>0.84339605947118002</v>
      </c>
      <c r="M155" s="13">
        <f>SUMIF(SIGAF!$B$2:$B$491,$A155,SIGAF!$L$2:$L$491)</f>
        <v>507594463.37</v>
      </c>
      <c r="N155" s="66">
        <f t="shared" si="37"/>
        <v>0.73767757408101753</v>
      </c>
      <c r="O155" s="85">
        <f>SUMIF(SIGAF!$B$2:$B$491,$A155,SIGAF!$M$2:$M$491)</f>
        <v>43170271.040000007</v>
      </c>
      <c r="P155" s="66">
        <f t="shared" si="38"/>
        <v>6.2738550380905062E-2</v>
      </c>
      <c r="Q155" s="13">
        <f>SUMIF(SIGAF!$B$2:$B$491,$A155,SIGAF!$N$2:$N$491)</f>
        <v>43170271.040000007</v>
      </c>
      <c r="R155" s="66">
        <f t="shared" si="39"/>
        <v>6.2738550380905062E-2</v>
      </c>
    </row>
    <row r="156" spans="1:18" x14ac:dyDescent="0.25">
      <c r="A156" s="11" t="s">
        <v>303</v>
      </c>
      <c r="B156" s="11" t="s">
        <v>520</v>
      </c>
      <c r="C156" s="13">
        <f>SUMIF(SIGAF!$B$2:$B$491,$A156,SIGAF!$F$2:$F$491)</f>
        <v>1893431799</v>
      </c>
      <c r="D156" s="13">
        <f>SUMIF(SIGAF!$B$2:$B$491,$A156,SIGAF!$G$2:$G$491)</f>
        <v>1893431799</v>
      </c>
      <c r="E156" s="13">
        <f>SUMIF(SIGAF!$B$2:$B$491,$A156,SIGAF!$H$2:$H$491)</f>
        <v>0</v>
      </c>
      <c r="F156" s="66">
        <f t="shared" si="35"/>
        <v>0</v>
      </c>
      <c r="G156" s="13">
        <f>SUMIF(SIGAF!$B$2:$B$491,$A156,SIGAF!$I$2:$I$491)</f>
        <v>642637998.9000001</v>
      </c>
      <c r="H156" s="66">
        <f t="shared" si="36"/>
        <v>0.33940382708234007</v>
      </c>
      <c r="I156" s="13">
        <f>SUMIF(SIGAF!$B$2:$B$491,$A156,SIGAF!$J$2:$J$491)</f>
        <v>0</v>
      </c>
      <c r="J156" s="66">
        <f t="shared" si="36"/>
        <v>0</v>
      </c>
      <c r="K156" s="13">
        <f>SUMIF(SIGAF!$B$2:$B$491,$A156,SIGAF!$K$2:$K$491)</f>
        <v>1033151631.14</v>
      </c>
      <c r="L156" s="142">
        <f t="shared" si="40"/>
        <v>0.54565030104894741</v>
      </c>
      <c r="M156" s="13">
        <f>SUMIF(SIGAF!$B$2:$B$491,$A156,SIGAF!$L$2:$L$491)</f>
        <v>921684452.47000003</v>
      </c>
      <c r="N156" s="66">
        <f t="shared" si="37"/>
        <v>0.48677985283482611</v>
      </c>
      <c r="O156" s="85">
        <f>SUMIF(SIGAF!$B$2:$B$491,$A156,SIGAF!$M$2:$M$491)</f>
        <v>217642168.96000001</v>
      </c>
      <c r="P156" s="66">
        <f t="shared" si="38"/>
        <v>0.11494587186871261</v>
      </c>
      <c r="Q156" s="13">
        <f>SUMIF(SIGAF!$B$2:$B$491,$A156,SIGAF!$N$2:$N$491)</f>
        <v>217642168.96000001</v>
      </c>
      <c r="R156" s="66">
        <f t="shared" si="39"/>
        <v>0.11494587186871261</v>
      </c>
    </row>
    <row r="157" spans="1:18" x14ac:dyDescent="0.25">
      <c r="A157" s="11" t="s">
        <v>305</v>
      </c>
      <c r="B157" s="11" t="s">
        <v>306</v>
      </c>
      <c r="C157" s="13">
        <f>SUMIF(SIGAF!$B$2:$B$491,$A157,SIGAF!$F$2:$F$491)</f>
        <v>1884669800</v>
      </c>
      <c r="D157" s="13">
        <f>SUMIF(SIGAF!$B$2:$B$491,$A157,SIGAF!$G$2:$G$491)</f>
        <v>1884669800</v>
      </c>
      <c r="E157" s="13">
        <f>SUMIF(SIGAF!$B$2:$B$491,$A157,SIGAF!$H$2:$H$491)</f>
        <v>0</v>
      </c>
      <c r="F157" s="66">
        <f t="shared" si="35"/>
        <v>0</v>
      </c>
      <c r="G157" s="13">
        <f>SUMIF(SIGAF!$B$2:$B$491,$A157,SIGAF!$I$2:$I$491)</f>
        <v>641963999.9000001</v>
      </c>
      <c r="H157" s="66">
        <f t="shared" si="36"/>
        <v>0.3406241241303915</v>
      </c>
      <c r="I157" s="13">
        <f>SUMIF(SIGAF!$B$2:$B$491,$A157,SIGAF!$J$2:$J$491)</f>
        <v>0</v>
      </c>
      <c r="J157" s="66">
        <f t="shared" si="36"/>
        <v>0</v>
      </c>
      <c r="K157" s="13">
        <f>SUMIF(SIGAF!$B$2:$B$491,$A157,SIGAF!$K$2:$K$491)</f>
        <v>1025063631.1800001</v>
      </c>
      <c r="L157" s="142">
        <f t="shared" si="40"/>
        <v>0.54389561035041789</v>
      </c>
      <c r="M157" s="13">
        <f>SUMIF(SIGAF!$B$2:$B$491,$A157,SIGAF!$L$2:$L$491)</f>
        <v>914270452.50999999</v>
      </c>
      <c r="N157" s="66">
        <f t="shared" si="37"/>
        <v>0.48510909046773071</v>
      </c>
      <c r="O157" s="85">
        <f>SUMIF(SIGAF!$B$2:$B$491,$A157,SIGAF!$M$2:$M$491)</f>
        <v>217642168.92000002</v>
      </c>
      <c r="P157" s="66">
        <f t="shared" si="38"/>
        <v>0.11548026551919069</v>
      </c>
      <c r="Q157" s="13">
        <f>SUMIF(SIGAF!$B$2:$B$491,$A157,SIGAF!$N$2:$N$491)</f>
        <v>217642168.92000002</v>
      </c>
      <c r="R157" s="66">
        <f t="shared" si="39"/>
        <v>0.11548026551919069</v>
      </c>
    </row>
    <row r="158" spans="1:18" x14ac:dyDescent="0.25">
      <c r="A158" s="11" t="s">
        <v>378</v>
      </c>
      <c r="B158" s="11" t="s">
        <v>379</v>
      </c>
      <c r="C158" s="13">
        <f>SUMIF(SIGAF!$B$2:$B$491,$A158,SIGAF!$F$2:$F$491)</f>
        <v>8761999</v>
      </c>
      <c r="D158" s="13">
        <f>SUMIF(SIGAF!$B$2:$B$491,$A158,SIGAF!$G$2:$G$491)</f>
        <v>8761999</v>
      </c>
      <c r="E158" s="13">
        <f>SUMIF(SIGAF!$B$2:$B$491,$A158,SIGAF!$H$2:$H$491)</f>
        <v>0</v>
      </c>
      <c r="F158" s="66">
        <f t="shared" si="35"/>
        <v>0</v>
      </c>
      <c r="G158" s="13">
        <f>SUMIF(SIGAF!$B$2:$B$491,$A158,SIGAF!$I$2:$I$491)</f>
        <v>673999</v>
      </c>
      <c r="H158" s="66">
        <f t="shared" si="36"/>
        <v>7.6922971573039442E-2</v>
      </c>
      <c r="I158" s="13">
        <f>SUMIF(SIGAF!$B$2:$B$491,$A158,SIGAF!$J$2:$J$491)</f>
        <v>0</v>
      </c>
      <c r="J158" s="66">
        <f t="shared" si="36"/>
        <v>0</v>
      </c>
      <c r="K158" s="13">
        <f>SUMIF(SIGAF!$B$2:$B$491,$A158,SIGAF!$K$2:$K$491)</f>
        <v>8087999.96</v>
      </c>
      <c r="L158" s="142">
        <f t="shared" si="40"/>
        <v>0.92307702386179225</v>
      </c>
      <c r="M158" s="13">
        <f>SUMIF(SIGAF!$B$2:$B$491,$A158,SIGAF!$L$2:$L$491)</f>
        <v>7413999.96</v>
      </c>
      <c r="N158" s="66">
        <f t="shared" si="37"/>
        <v>0.84615393815954554</v>
      </c>
      <c r="O158" s="85">
        <f>SUMIF(SIGAF!$B$2:$B$491,$A158,SIGAF!$M$2:$M$491)</f>
        <v>0.04</v>
      </c>
      <c r="P158" s="66">
        <f t="shared" si="38"/>
        <v>4.5651682909345229E-9</v>
      </c>
      <c r="Q158" s="13">
        <f>SUMIF(SIGAF!$B$2:$B$491,$A158,SIGAF!$N$2:$N$491)</f>
        <v>0.04</v>
      </c>
      <c r="R158" s="66">
        <f t="shared" si="39"/>
        <v>4.5651682909345229E-9</v>
      </c>
    </row>
    <row r="159" spans="1:18" x14ac:dyDescent="0.25">
      <c r="A159" s="11" t="s">
        <v>349</v>
      </c>
      <c r="B159" s="11" t="s">
        <v>521</v>
      </c>
      <c r="C159" s="13">
        <f>SUMIF(SIGAF!$B$2:$B$491,$A159,SIGAF!$F$2:$F$491)</f>
        <v>385432982</v>
      </c>
      <c r="D159" s="13">
        <f>SUMIF(SIGAF!$B$2:$B$491,$A159,SIGAF!$G$2:$G$491)</f>
        <v>385432982</v>
      </c>
      <c r="E159" s="13">
        <f>SUMIF(SIGAF!$B$2:$B$491,$A159,SIGAF!$H$2:$H$491)</f>
        <v>0</v>
      </c>
      <c r="F159" s="66">
        <f t="shared" si="35"/>
        <v>0</v>
      </c>
      <c r="G159" s="13">
        <f>SUMIF(SIGAF!$B$2:$B$491,$A159,SIGAF!$I$2:$I$491)</f>
        <v>2777502.42</v>
      </c>
      <c r="H159" s="66">
        <f t="shared" si="36"/>
        <v>7.2061877154041788E-3</v>
      </c>
      <c r="I159" s="13">
        <f>SUMIF(SIGAF!$B$2:$B$491,$A159,SIGAF!$J$2:$J$491)</f>
        <v>0</v>
      </c>
      <c r="J159" s="66">
        <f t="shared" si="36"/>
        <v>0</v>
      </c>
      <c r="K159" s="13">
        <f>SUMIF(SIGAF!$B$2:$B$491,$A159,SIGAF!$K$2:$K$491)</f>
        <v>357522416.01999998</v>
      </c>
      <c r="L159" s="142">
        <f t="shared" si="40"/>
        <v>0.92758646176263138</v>
      </c>
      <c r="M159" s="13">
        <f>SUMIF(SIGAF!$B$2:$B$491,$A159,SIGAF!$L$2:$L$491)</f>
        <v>92300164.330000013</v>
      </c>
      <c r="N159" s="66">
        <f t="shared" si="37"/>
        <v>0.23947137022643281</v>
      </c>
      <c r="O159" s="85">
        <f>SUMIF(SIGAF!$B$2:$B$491,$A159,SIGAF!$M$2:$M$491)</f>
        <v>25133063.560000002</v>
      </c>
      <c r="P159" s="66">
        <f t="shared" si="38"/>
        <v>6.5207350521964413E-2</v>
      </c>
      <c r="Q159" s="13">
        <f>SUMIF(SIGAF!$B$2:$B$491,$A159,SIGAF!$N$2:$N$491)</f>
        <v>25133063.560000002</v>
      </c>
      <c r="R159" s="66">
        <f t="shared" si="39"/>
        <v>6.5207350521964413E-2</v>
      </c>
    </row>
    <row r="160" spans="1:18" x14ac:dyDescent="0.25">
      <c r="A160" s="11" t="s">
        <v>351</v>
      </c>
      <c r="B160" s="11" t="s">
        <v>352</v>
      </c>
      <c r="C160" s="13">
        <f>SUMIF(SIGAF!$B$2:$B$491,$A160,SIGAF!$F$2:$F$491)</f>
        <v>385432982</v>
      </c>
      <c r="D160" s="13">
        <f>SUMIF(SIGAF!$B$2:$B$491,$A160,SIGAF!$G$2:$G$491)</f>
        <v>385432982</v>
      </c>
      <c r="E160" s="13">
        <f>SUMIF(SIGAF!$B$2:$B$491,$A160,SIGAF!$H$2:$H$491)</f>
        <v>0</v>
      </c>
      <c r="F160" s="66">
        <f t="shared" si="35"/>
        <v>0</v>
      </c>
      <c r="G160" s="13">
        <f>SUMIF(SIGAF!$B$2:$B$491,$A160,SIGAF!$I$2:$I$491)</f>
        <v>2777502.42</v>
      </c>
      <c r="H160" s="66">
        <f t="shared" si="36"/>
        <v>7.2061877154041788E-3</v>
      </c>
      <c r="I160" s="13">
        <f>SUMIF(SIGAF!$B$2:$B$491,$A160,SIGAF!$J$2:$J$491)</f>
        <v>0</v>
      </c>
      <c r="J160" s="66">
        <f t="shared" si="36"/>
        <v>0</v>
      </c>
      <c r="K160" s="13">
        <f>SUMIF(SIGAF!$B$2:$B$491,$A160,SIGAF!$K$2:$K$491)</f>
        <v>357522416.01999998</v>
      </c>
      <c r="L160" s="142">
        <f t="shared" si="40"/>
        <v>0.92758646176263138</v>
      </c>
      <c r="M160" s="13">
        <f>SUMIF(SIGAF!$B$2:$B$491,$A160,SIGAF!$L$2:$L$491)</f>
        <v>92300164.330000013</v>
      </c>
      <c r="N160" s="66">
        <f t="shared" si="37"/>
        <v>0.23947137022643281</v>
      </c>
      <c r="O160" s="85">
        <f>SUMIF(SIGAF!$B$2:$B$491,$A160,SIGAF!$M$2:$M$491)</f>
        <v>25133063.560000002</v>
      </c>
      <c r="P160" s="66">
        <f t="shared" si="38"/>
        <v>6.5207350521964413E-2</v>
      </c>
      <c r="Q160" s="13">
        <f>SUMIF(SIGAF!$B$2:$B$491,$A160,SIGAF!$N$2:$N$491)</f>
        <v>25133063.560000002</v>
      </c>
      <c r="R160" s="66">
        <f t="shared" si="39"/>
        <v>6.5207350521964413E-2</v>
      </c>
    </row>
    <row r="161" spans="1:18" s="23" customFormat="1" x14ac:dyDescent="0.25">
      <c r="A161" s="21" t="s">
        <v>255</v>
      </c>
      <c r="B161" s="21" t="s">
        <v>522</v>
      </c>
      <c r="C161" s="35">
        <f>+C162+C179+C181+C184+C187</f>
        <v>4153313177.1700001</v>
      </c>
      <c r="D161" s="35">
        <f t="shared" ref="D161:G161" si="41">+D162+D179+D181+D184+D187</f>
        <v>4153313177.1700001</v>
      </c>
      <c r="E161" s="35">
        <f t="shared" si="41"/>
        <v>0</v>
      </c>
      <c r="F161" s="65">
        <f t="shared" si="35"/>
        <v>0</v>
      </c>
      <c r="G161" s="35">
        <f t="shared" si="41"/>
        <v>77872794.379999995</v>
      </c>
      <c r="H161" s="65">
        <f t="shared" si="36"/>
        <v>1.8749559943625836E-2</v>
      </c>
      <c r="I161" s="35">
        <f t="shared" ref="I161" si="42">+I162+I179+I181+I184+I187</f>
        <v>0</v>
      </c>
      <c r="J161" s="65">
        <f t="shared" si="36"/>
        <v>0</v>
      </c>
      <c r="K161" s="35">
        <f t="shared" ref="K161:Q161" si="43">+K162+K179+K181+K184+K187</f>
        <v>3804502099.5099998</v>
      </c>
      <c r="L161" s="141">
        <f t="shared" si="40"/>
        <v>0.91601618688969788</v>
      </c>
      <c r="M161" s="35">
        <f t="shared" si="43"/>
        <v>3713535255.71</v>
      </c>
      <c r="N161" s="65">
        <f t="shared" si="37"/>
        <v>0.89411395127211246</v>
      </c>
      <c r="O161" s="35">
        <f t="shared" si="43"/>
        <v>270938283.28000003</v>
      </c>
      <c r="P161" s="65">
        <f t="shared" si="38"/>
        <v>6.5234253166676193E-2</v>
      </c>
      <c r="Q161" s="35">
        <f t="shared" si="43"/>
        <v>270938283.28000003</v>
      </c>
      <c r="R161" s="65">
        <f t="shared" si="39"/>
        <v>6.5234253166676193E-2</v>
      </c>
    </row>
    <row r="162" spans="1:18" x14ac:dyDescent="0.25">
      <c r="A162" s="11" t="s">
        <v>257</v>
      </c>
      <c r="B162" s="11" t="s">
        <v>523</v>
      </c>
      <c r="C162" s="13">
        <f>SUMIF(SIGAF!$B$2:$B$491,$A162,SIGAF!$F$2:$F$491)</f>
        <v>1086141042</v>
      </c>
      <c r="D162" s="13">
        <f>SUMIF(SIGAF!$B$2:$B$491,$A162,SIGAF!$G$2:$G$491)</f>
        <v>1086141042</v>
      </c>
      <c r="E162" s="13">
        <f>SUMIF(SIGAF!$B$2:$B$491,$A162,SIGAF!$H$2:$H$491)</f>
        <v>0</v>
      </c>
      <c r="F162" s="66">
        <f t="shared" si="35"/>
        <v>0</v>
      </c>
      <c r="G162" s="13">
        <f>SUMIF(SIGAF!$B$2:$B$491,$A162,SIGAF!$I$2:$I$491)</f>
        <v>0</v>
      </c>
      <c r="H162" s="66">
        <f t="shared" si="36"/>
        <v>0</v>
      </c>
      <c r="I162" s="13">
        <f>SUMIF(SIGAF!$B$2:$B$491,$A162,SIGAF!$J$2:$J$491)</f>
        <v>0</v>
      </c>
      <c r="J162" s="66">
        <f t="shared" si="36"/>
        <v>0</v>
      </c>
      <c r="K162" s="13">
        <f>SUMIF(SIGAF!$B$2:$B$491,$A162,SIGAF!$K$2:$K$491)</f>
        <v>992174362.75999987</v>
      </c>
      <c r="L162" s="142">
        <f t="shared" si="40"/>
        <v>0.91348574852951725</v>
      </c>
      <c r="M162" s="13">
        <f>SUMIF(SIGAF!$B$2:$B$491,$A162,SIGAF!$L$2:$L$491)</f>
        <v>992174362.75999987</v>
      </c>
      <c r="N162" s="66">
        <f t="shared" si="37"/>
        <v>0.91348574852951725</v>
      </c>
      <c r="O162" s="85">
        <f>SUMIF(SIGAF!$B$2:$B$491,$A162,SIGAF!$M$2:$M$491)</f>
        <v>93966679.24000001</v>
      </c>
      <c r="P162" s="66">
        <f t="shared" si="38"/>
        <v>8.6514251470482612E-2</v>
      </c>
      <c r="Q162" s="13">
        <f>SUMIF(SIGAF!$B$2:$B$491,$A162,SIGAF!$N$2:$N$491)</f>
        <v>93966679.24000001</v>
      </c>
      <c r="R162" s="66">
        <f t="shared" si="39"/>
        <v>8.6514251470482612E-2</v>
      </c>
    </row>
    <row r="163" spans="1:18" x14ac:dyDescent="0.25">
      <c r="A163" s="11" t="s">
        <v>411</v>
      </c>
      <c r="B163" s="11" t="s">
        <v>524</v>
      </c>
      <c r="C163" s="13">
        <f>SUM(C164:C167)</f>
        <v>481500000</v>
      </c>
      <c r="D163" s="13">
        <f t="shared" ref="D163:G163" si="44">SUM(D164:D167)</f>
        <v>481500000</v>
      </c>
      <c r="E163" s="13">
        <f t="shared" si="44"/>
        <v>0</v>
      </c>
      <c r="F163" s="66">
        <f t="shared" si="35"/>
        <v>0</v>
      </c>
      <c r="G163" s="13">
        <f t="shared" si="44"/>
        <v>0</v>
      </c>
      <c r="H163" s="66">
        <f t="shared" si="36"/>
        <v>0</v>
      </c>
      <c r="I163" s="13">
        <f t="shared" ref="I163" si="45">SUM(I164:I167)</f>
        <v>0</v>
      </c>
      <c r="J163" s="66">
        <f t="shared" si="36"/>
        <v>0</v>
      </c>
      <c r="K163" s="13">
        <f t="shared" ref="K163:Q163" si="46">SUM(K164:K167)</f>
        <v>400654271.5</v>
      </c>
      <c r="L163" s="142">
        <f t="shared" si="40"/>
        <v>0.83209609865005196</v>
      </c>
      <c r="M163" s="13">
        <f t="shared" si="46"/>
        <v>400654271.5</v>
      </c>
      <c r="N163" s="66">
        <f t="shared" si="37"/>
        <v>0.83209609865005196</v>
      </c>
      <c r="O163" s="13">
        <f t="shared" si="46"/>
        <v>80845728.5</v>
      </c>
      <c r="P163" s="66">
        <f t="shared" si="38"/>
        <v>0.16790390134994809</v>
      </c>
      <c r="Q163" s="13">
        <f t="shared" si="46"/>
        <v>80845728.5</v>
      </c>
      <c r="R163" s="66">
        <f t="shared" si="39"/>
        <v>0.16790390134994809</v>
      </c>
    </row>
    <row r="164" spans="1:18" x14ac:dyDescent="0.25">
      <c r="A164" s="11" t="s">
        <v>259</v>
      </c>
      <c r="B164" s="11" t="s">
        <v>525</v>
      </c>
      <c r="C164" s="13">
        <f>SUMIF(SIGAF!$B$2:$B$491,$A164,SIGAF!$F$2:$F$491)</f>
        <v>2000000</v>
      </c>
      <c r="D164" s="13">
        <f>SUMIF(SIGAF!$B$2:$B$491,$A164,SIGAF!$G$2:$G$491)</f>
        <v>2000000</v>
      </c>
      <c r="E164" s="13">
        <f>SUMIF(SIGAF!$B$2:$B$491,$A164,SIGAF!$H$2:$H$491)</f>
        <v>0</v>
      </c>
      <c r="F164" s="66">
        <f t="shared" si="35"/>
        <v>0</v>
      </c>
      <c r="G164" s="13">
        <f>SUMIF(SIGAF!$B$2:$B$491,$A164,SIGAF!$I$2:$I$491)</f>
        <v>0</v>
      </c>
      <c r="H164" s="66">
        <f t="shared" si="36"/>
        <v>0</v>
      </c>
      <c r="I164" s="13">
        <f>SUMIF(SIGAF!$B$2:$B$491,$A164,SIGAF!$J$2:$J$491)</f>
        <v>0</v>
      </c>
      <c r="J164" s="66">
        <f t="shared" si="36"/>
        <v>0</v>
      </c>
      <c r="K164" s="13">
        <f>SUMIF(SIGAF!$B$2:$B$491,$A164,SIGAF!$K$2:$K$491)</f>
        <v>2000000</v>
      </c>
      <c r="L164" s="142">
        <f t="shared" si="40"/>
        <v>1</v>
      </c>
      <c r="M164" s="13">
        <f>SUMIF(SIGAF!$B$2:$B$491,$A164,SIGAF!$L$2:$L$491)</f>
        <v>2000000</v>
      </c>
      <c r="N164" s="66">
        <f t="shared" si="37"/>
        <v>1</v>
      </c>
      <c r="O164" s="85">
        <f>SUMIF(SIGAF!$B$2:$B$491,$A164,SIGAF!$M$2:$M$491)</f>
        <v>0</v>
      </c>
      <c r="P164" s="66">
        <f t="shared" si="38"/>
        <v>0</v>
      </c>
      <c r="Q164" s="13">
        <f>SUMIF(SIGAF!$B$2:$B$491,$A164,SIGAF!$N$2:$N$491)</f>
        <v>0</v>
      </c>
      <c r="R164" s="66">
        <f t="shared" si="39"/>
        <v>0</v>
      </c>
    </row>
    <row r="165" spans="1:18" x14ac:dyDescent="0.25">
      <c r="A165" s="11" t="s">
        <v>380</v>
      </c>
      <c r="B165" s="11" t="s">
        <v>526</v>
      </c>
      <c r="C165" s="13">
        <f>SUMIF(SIGAF!$B$2:$B$491,$A165,SIGAF!$F$2:$F$491)</f>
        <v>179500000</v>
      </c>
      <c r="D165" s="13">
        <f>SUMIF(SIGAF!$B$2:$B$491,$A165,SIGAF!$G$2:$G$491)</f>
        <v>179500000</v>
      </c>
      <c r="E165" s="13">
        <f>SUMIF(SIGAF!$B$2:$B$491,$A165,SIGAF!$H$2:$H$491)</f>
        <v>0</v>
      </c>
      <c r="F165" s="66">
        <f t="shared" si="35"/>
        <v>0</v>
      </c>
      <c r="G165" s="13">
        <f>SUMIF(SIGAF!$B$2:$B$491,$A165,SIGAF!$I$2:$I$491)</f>
        <v>0</v>
      </c>
      <c r="H165" s="66">
        <f t="shared" si="36"/>
        <v>0</v>
      </c>
      <c r="I165" s="13">
        <f>SUMIF(SIGAF!$B$2:$B$491,$A165,SIGAF!$J$2:$J$491)</f>
        <v>0</v>
      </c>
      <c r="J165" s="66">
        <f t="shared" si="36"/>
        <v>0</v>
      </c>
      <c r="K165" s="13">
        <f>SUMIF(SIGAF!$B$2:$B$491,$A165,SIGAF!$K$2:$K$491)</f>
        <v>131960000</v>
      </c>
      <c r="L165" s="142">
        <f t="shared" si="40"/>
        <v>0.73515320334261836</v>
      </c>
      <c r="M165" s="13">
        <f>SUMIF(SIGAF!$B$2:$B$491,$A165,SIGAF!$L$2:$L$491)</f>
        <v>131960000</v>
      </c>
      <c r="N165" s="66">
        <f t="shared" si="37"/>
        <v>0.73515320334261836</v>
      </c>
      <c r="O165" s="85">
        <f>SUMIF(SIGAF!$B$2:$B$491,$A165,SIGAF!$M$2:$M$491)</f>
        <v>47540000</v>
      </c>
      <c r="P165" s="66">
        <f t="shared" si="38"/>
        <v>0.26484679665738159</v>
      </c>
      <c r="Q165" s="13">
        <f>SUMIF(SIGAF!$B$2:$B$491,$A165,SIGAF!$N$2:$N$491)</f>
        <v>47540000</v>
      </c>
      <c r="R165" s="66">
        <f t="shared" si="39"/>
        <v>0.26484679665738159</v>
      </c>
    </row>
    <row r="166" spans="1:18" x14ac:dyDescent="0.25">
      <c r="A166" s="11" t="s">
        <v>412</v>
      </c>
      <c r="B166" s="11" t="s">
        <v>527</v>
      </c>
      <c r="C166" s="13">
        <f>SUMIF(SIGAF!$B$2:$B$491,$A166,SIGAF!$F$2:$F$491)</f>
        <v>0</v>
      </c>
      <c r="D166" s="13">
        <f>SUMIF(SIGAF!$B$2:$B$491,$A166,SIGAF!$G$2:$G$491)</f>
        <v>0</v>
      </c>
      <c r="E166" s="13">
        <f>SUMIF(SIGAF!$B$2:$B$491,$A166,SIGAF!$H$2:$H$491)</f>
        <v>0</v>
      </c>
      <c r="F166" s="66">
        <f t="shared" si="35"/>
        <v>0</v>
      </c>
      <c r="G166" s="13">
        <f>SUMIF(SIGAF!$B$2:$B$491,$A166,SIGAF!$I$2:$I$491)</f>
        <v>0</v>
      </c>
      <c r="H166" s="66">
        <f t="shared" si="36"/>
        <v>0</v>
      </c>
      <c r="I166" s="13">
        <f>SUMIF(SIGAF!$B$2:$B$491,$A166,SIGAF!$J$2:$J$491)</f>
        <v>0</v>
      </c>
      <c r="J166" s="66">
        <f t="shared" si="36"/>
        <v>0</v>
      </c>
      <c r="K166" s="13">
        <f>SUMIF(SIGAF!$B$2:$B$491,$A166,SIGAF!$K$2:$K$491)</f>
        <v>0</v>
      </c>
      <c r="L166" s="142">
        <f t="shared" si="40"/>
        <v>0</v>
      </c>
      <c r="M166" s="13">
        <f>SUMIF(SIGAF!$B$2:$B$491,$A166,SIGAF!$L$2:$L$491)</f>
        <v>0</v>
      </c>
      <c r="N166" s="66">
        <f t="shared" si="37"/>
        <v>0</v>
      </c>
      <c r="O166" s="85">
        <f>SUMIF(SIGAF!$B$2:$B$491,$A166,SIGAF!$M$2:$M$491)</f>
        <v>0</v>
      </c>
      <c r="P166" s="66">
        <f t="shared" si="38"/>
        <v>0</v>
      </c>
      <c r="Q166" s="13">
        <f>SUMIF(SIGAF!$B$2:$B$491,$A166,SIGAF!$N$2:$N$491)</f>
        <v>0</v>
      </c>
      <c r="R166" s="66">
        <f t="shared" si="39"/>
        <v>0</v>
      </c>
    </row>
    <row r="167" spans="1:18" x14ac:dyDescent="0.25">
      <c r="A167" s="11" t="s">
        <v>261</v>
      </c>
      <c r="B167" s="11" t="s">
        <v>528</v>
      </c>
      <c r="C167" s="13">
        <f>SUMIF(SIGAF!$B$2:$B$491,$A167,SIGAF!$F$2:$F$491)</f>
        <v>300000000</v>
      </c>
      <c r="D167" s="13">
        <f>SUMIF(SIGAF!$B$2:$B$491,$A167,SIGAF!$G$2:$G$491)</f>
        <v>300000000</v>
      </c>
      <c r="E167" s="13">
        <f>SUMIF(SIGAF!$B$2:$B$491,$A167,SIGAF!$H$2:$H$491)</f>
        <v>0</v>
      </c>
      <c r="F167" s="66">
        <f t="shared" si="35"/>
        <v>0</v>
      </c>
      <c r="G167" s="13">
        <f>SUMIF(SIGAF!$B$2:$B$491,$A167,SIGAF!$I$2:$I$491)</f>
        <v>0</v>
      </c>
      <c r="H167" s="66">
        <f t="shared" si="36"/>
        <v>0</v>
      </c>
      <c r="I167" s="13">
        <f>SUMIF(SIGAF!$B$2:$B$491,$A167,SIGAF!$J$2:$J$491)</f>
        <v>0</v>
      </c>
      <c r="J167" s="66">
        <f t="shared" si="36"/>
        <v>0</v>
      </c>
      <c r="K167" s="13">
        <f>SUMIF(SIGAF!$B$2:$B$491,$A167,SIGAF!$K$2:$K$491)</f>
        <v>266694271.5</v>
      </c>
      <c r="L167" s="142">
        <f t="shared" si="40"/>
        <v>0.88898090500000004</v>
      </c>
      <c r="M167" s="13">
        <f>SUMIF(SIGAF!$B$2:$B$491,$A167,SIGAF!$L$2:$L$491)</f>
        <v>266694271.5</v>
      </c>
      <c r="N167" s="66">
        <f t="shared" si="37"/>
        <v>0.88898090500000004</v>
      </c>
      <c r="O167" s="85">
        <f>SUMIF(SIGAF!$B$2:$B$491,$A167,SIGAF!$M$2:$M$491)</f>
        <v>33305728.5</v>
      </c>
      <c r="P167" s="66">
        <f t="shared" si="38"/>
        <v>0.111019095</v>
      </c>
      <c r="Q167" s="13">
        <f>SUMIF(SIGAF!$B$2:$B$491,$A167,SIGAF!$N$2:$N$491)</f>
        <v>33305728.5</v>
      </c>
      <c r="R167" s="66">
        <f t="shared" si="39"/>
        <v>0.111019095</v>
      </c>
    </row>
    <row r="168" spans="1:18" x14ac:dyDescent="0.25">
      <c r="A168" s="11" t="s">
        <v>413</v>
      </c>
      <c r="B168" s="11" t="s">
        <v>529</v>
      </c>
      <c r="C168" s="13">
        <f>SUM(C169:C178)</f>
        <v>604641042</v>
      </c>
      <c r="D168" s="13">
        <f t="shared" ref="D168:G168" si="47">SUM(D169:D178)</f>
        <v>604641042</v>
      </c>
      <c r="E168" s="13">
        <f t="shared" si="47"/>
        <v>0</v>
      </c>
      <c r="F168" s="66">
        <f t="shared" si="35"/>
        <v>0</v>
      </c>
      <c r="G168" s="13">
        <f t="shared" si="47"/>
        <v>0</v>
      </c>
      <c r="H168" s="66">
        <f t="shared" si="36"/>
        <v>0</v>
      </c>
      <c r="I168" s="13">
        <f t="shared" ref="I168" si="48">SUM(I169:I178)</f>
        <v>0</v>
      </c>
      <c r="J168" s="66">
        <f t="shared" si="36"/>
        <v>0</v>
      </c>
      <c r="K168" s="13">
        <f t="shared" ref="K168:Q168" si="49">SUM(K169:K178)</f>
        <v>591520091.25999999</v>
      </c>
      <c r="L168" s="142">
        <f t="shared" si="40"/>
        <v>0.97829960285759099</v>
      </c>
      <c r="M168" s="13">
        <f t="shared" si="49"/>
        <v>591520091.25999999</v>
      </c>
      <c r="N168" s="66">
        <f t="shared" si="37"/>
        <v>0.97829960285759099</v>
      </c>
      <c r="O168" s="13">
        <f t="shared" si="49"/>
        <v>13120950.74</v>
      </c>
      <c r="P168" s="66">
        <f t="shared" si="38"/>
        <v>2.1700397142409001E-2</v>
      </c>
      <c r="Q168" s="13">
        <f t="shared" si="49"/>
        <v>13120950.74</v>
      </c>
      <c r="R168" s="66">
        <f t="shared" si="39"/>
        <v>2.1700397142409001E-2</v>
      </c>
    </row>
    <row r="169" spans="1:18" x14ac:dyDescent="0.25">
      <c r="A169" s="11" t="s">
        <v>263</v>
      </c>
      <c r="B169" s="11" t="s">
        <v>530</v>
      </c>
      <c r="C169" s="13">
        <f>SUMIF(SIGAF!$B$2:$B$491,$A169,SIGAF!$F$2:$F$491)</f>
        <v>7173000</v>
      </c>
      <c r="D169" s="13">
        <f>SUMIF(SIGAF!$B$2:$B$491,$A169,SIGAF!$G$2:$G$491)</f>
        <v>7173000</v>
      </c>
      <c r="E169" s="13">
        <f>SUMIF(SIGAF!$B$2:$B$491,$A169,SIGAF!$H$2:$H$491)</f>
        <v>0</v>
      </c>
      <c r="F169" s="66">
        <f t="shared" si="35"/>
        <v>0</v>
      </c>
      <c r="G169" s="13">
        <f>SUMIF(SIGAF!$B$2:$B$491,$A169,SIGAF!$I$2:$I$491)</f>
        <v>0</v>
      </c>
      <c r="H169" s="66">
        <f t="shared" si="36"/>
        <v>0</v>
      </c>
      <c r="I169" s="13">
        <f>SUMIF(SIGAF!$B$2:$B$491,$A169,SIGAF!$J$2:$J$491)</f>
        <v>0</v>
      </c>
      <c r="J169" s="66">
        <f t="shared" si="36"/>
        <v>0</v>
      </c>
      <c r="K169" s="13">
        <f>SUMIF(SIGAF!$B$2:$B$491,$A169,SIGAF!$K$2:$K$491)</f>
        <v>6581323</v>
      </c>
      <c r="L169" s="142">
        <f t="shared" si="40"/>
        <v>0.91751331381569778</v>
      </c>
      <c r="M169" s="13">
        <f>SUMIF(SIGAF!$B$2:$B$491,$A169,SIGAF!$L$2:$L$491)</f>
        <v>6581323</v>
      </c>
      <c r="N169" s="66">
        <f t="shared" si="37"/>
        <v>0.91751331381569778</v>
      </c>
      <c r="O169" s="85">
        <f>SUMIF(SIGAF!$B$2:$B$491,$A169,SIGAF!$M$2:$M$491)</f>
        <v>591677</v>
      </c>
      <c r="P169" s="66">
        <f t="shared" si="38"/>
        <v>8.2486686184302244E-2</v>
      </c>
      <c r="Q169" s="13">
        <f>SUMIF(SIGAF!$B$2:$B$491,$A169,SIGAF!$N$2:$N$491)</f>
        <v>591677</v>
      </c>
      <c r="R169" s="66">
        <f t="shared" si="39"/>
        <v>8.2486686184302244E-2</v>
      </c>
    </row>
    <row r="170" spans="1:18" x14ac:dyDescent="0.25">
      <c r="A170" s="11" t="s">
        <v>318</v>
      </c>
      <c r="B170" s="11" t="s">
        <v>530</v>
      </c>
      <c r="C170" s="13">
        <f>SUMIF(SIGAF!$B$2:$B$491,$A170,SIGAF!$F$2:$F$491)</f>
        <v>4757000</v>
      </c>
      <c r="D170" s="13">
        <f>SUMIF(SIGAF!$B$2:$B$491,$A170,SIGAF!$G$2:$G$491)</f>
        <v>4757000</v>
      </c>
      <c r="E170" s="13">
        <f>SUMIF(SIGAF!$B$2:$B$491,$A170,SIGAF!$H$2:$H$491)</f>
        <v>0</v>
      </c>
      <c r="F170" s="66">
        <f t="shared" si="35"/>
        <v>0</v>
      </c>
      <c r="G170" s="13">
        <f>SUMIF(SIGAF!$B$2:$B$491,$A170,SIGAF!$I$2:$I$491)</f>
        <v>0</v>
      </c>
      <c r="H170" s="66">
        <f t="shared" si="36"/>
        <v>0</v>
      </c>
      <c r="I170" s="13">
        <f>SUMIF(SIGAF!$B$2:$B$491,$A170,SIGAF!$J$2:$J$491)</f>
        <v>0</v>
      </c>
      <c r="J170" s="66">
        <f t="shared" si="36"/>
        <v>0</v>
      </c>
      <c r="K170" s="13">
        <f>SUMIF(SIGAF!$B$2:$B$491,$A170,SIGAF!$K$2:$K$491)</f>
        <v>4498635</v>
      </c>
      <c r="L170" s="142">
        <f t="shared" si="40"/>
        <v>0.94568740803027118</v>
      </c>
      <c r="M170" s="13">
        <f>SUMIF(SIGAF!$B$2:$B$491,$A170,SIGAF!$L$2:$L$491)</f>
        <v>4498635</v>
      </c>
      <c r="N170" s="66">
        <f t="shared" si="37"/>
        <v>0.94568740803027118</v>
      </c>
      <c r="O170" s="85">
        <f>SUMIF(SIGAF!$B$2:$B$491,$A170,SIGAF!$M$2:$M$491)</f>
        <v>258365</v>
      </c>
      <c r="P170" s="66">
        <f t="shared" si="38"/>
        <v>5.4312591969728818E-2</v>
      </c>
      <c r="Q170" s="13">
        <f>SUMIF(SIGAF!$B$2:$B$491,$A170,SIGAF!$N$2:$N$491)</f>
        <v>258365</v>
      </c>
      <c r="R170" s="66">
        <f t="shared" si="39"/>
        <v>5.4312591969728818E-2</v>
      </c>
    </row>
    <row r="171" spans="1:18" x14ac:dyDescent="0.25">
      <c r="A171" s="11" t="s">
        <v>353</v>
      </c>
      <c r="B171" s="11" t="s">
        <v>530</v>
      </c>
      <c r="C171" s="13">
        <f>SUMIF(SIGAF!$B$2:$B$491,$A171,SIGAF!$F$2:$F$491)</f>
        <v>42341000</v>
      </c>
      <c r="D171" s="13">
        <f>SUMIF(SIGAF!$B$2:$B$491,$A171,SIGAF!$G$2:$G$491)</f>
        <v>42341000</v>
      </c>
      <c r="E171" s="13">
        <f>SUMIF(SIGAF!$B$2:$B$491,$A171,SIGAF!$H$2:$H$491)</f>
        <v>0</v>
      </c>
      <c r="F171" s="66">
        <f t="shared" si="35"/>
        <v>0</v>
      </c>
      <c r="G171" s="13">
        <f>SUMIF(SIGAF!$B$2:$B$491,$A171,SIGAF!$I$2:$I$491)</f>
        <v>0</v>
      </c>
      <c r="H171" s="66">
        <f t="shared" si="36"/>
        <v>0</v>
      </c>
      <c r="I171" s="13">
        <f>SUMIF(SIGAF!$B$2:$B$491,$A171,SIGAF!$J$2:$J$491)</f>
        <v>0</v>
      </c>
      <c r="J171" s="66">
        <f t="shared" si="36"/>
        <v>0</v>
      </c>
      <c r="K171" s="13">
        <f>SUMIF(SIGAF!$B$2:$B$491,$A171,SIGAF!$K$2:$K$491)</f>
        <v>42341000</v>
      </c>
      <c r="L171" s="142">
        <f t="shared" si="40"/>
        <v>1</v>
      </c>
      <c r="M171" s="13">
        <f>SUMIF(SIGAF!$B$2:$B$491,$A171,SIGAF!$L$2:$L$491)</f>
        <v>42341000</v>
      </c>
      <c r="N171" s="66">
        <f t="shared" si="37"/>
        <v>1</v>
      </c>
      <c r="O171" s="85">
        <f>SUMIF(SIGAF!$B$2:$B$491,$A171,SIGAF!$M$2:$M$491)</f>
        <v>0</v>
      </c>
      <c r="P171" s="66">
        <f t="shared" si="38"/>
        <v>0</v>
      </c>
      <c r="Q171" s="13">
        <f>SUMIF(SIGAF!$B$2:$B$491,$A171,SIGAF!$N$2:$N$491)</f>
        <v>0</v>
      </c>
      <c r="R171" s="66">
        <f t="shared" si="39"/>
        <v>0</v>
      </c>
    </row>
    <row r="172" spans="1:18" x14ac:dyDescent="0.25">
      <c r="A172" s="11" t="s">
        <v>382</v>
      </c>
      <c r="B172" s="11" t="s">
        <v>530</v>
      </c>
      <c r="C172" s="13">
        <f>SUMIF(SIGAF!$B$2:$B$491,$A172,SIGAF!$F$2:$F$491)</f>
        <v>315187000</v>
      </c>
      <c r="D172" s="13">
        <f>SUMIF(SIGAF!$B$2:$B$491,$A172,SIGAF!$G$2:$G$491)</f>
        <v>315187000</v>
      </c>
      <c r="E172" s="13">
        <f>SUMIF(SIGAF!$B$2:$B$491,$A172,SIGAF!$H$2:$H$491)</f>
        <v>0</v>
      </c>
      <c r="F172" s="66">
        <f t="shared" si="35"/>
        <v>0</v>
      </c>
      <c r="G172" s="13">
        <f>SUMIF(SIGAF!$B$2:$B$491,$A172,SIGAF!$I$2:$I$491)</f>
        <v>0</v>
      </c>
      <c r="H172" s="66">
        <f t="shared" si="36"/>
        <v>0</v>
      </c>
      <c r="I172" s="13">
        <f>SUMIF(SIGAF!$B$2:$B$491,$A172,SIGAF!$J$2:$J$491)</f>
        <v>0</v>
      </c>
      <c r="J172" s="66">
        <f t="shared" si="36"/>
        <v>0</v>
      </c>
      <c r="K172" s="13">
        <f>SUMIF(SIGAF!$B$2:$B$491,$A172,SIGAF!$K$2:$K$491)</f>
        <v>315186998.5</v>
      </c>
      <c r="L172" s="142">
        <f t="shared" si="40"/>
        <v>0.99999999524092043</v>
      </c>
      <c r="M172" s="13">
        <f>SUMIF(SIGAF!$B$2:$B$491,$A172,SIGAF!$L$2:$L$491)</f>
        <v>315186998.5</v>
      </c>
      <c r="N172" s="66">
        <f t="shared" si="37"/>
        <v>0.99999999524092043</v>
      </c>
      <c r="O172" s="85">
        <f>SUMIF(SIGAF!$B$2:$B$491,$A172,SIGAF!$M$2:$M$491)</f>
        <v>1.5</v>
      </c>
      <c r="P172" s="66">
        <f t="shared" si="38"/>
        <v>4.7590795305643951E-9</v>
      </c>
      <c r="Q172" s="13">
        <f>SUMIF(SIGAF!$B$2:$B$491,$A172,SIGAF!$N$2:$N$491)</f>
        <v>1.5</v>
      </c>
      <c r="R172" s="66">
        <f t="shared" si="39"/>
        <v>4.7590795305643951E-9</v>
      </c>
    </row>
    <row r="173" spans="1:18" x14ac:dyDescent="0.25">
      <c r="A173" s="11" t="s">
        <v>401</v>
      </c>
      <c r="B173" s="11" t="s">
        <v>530</v>
      </c>
      <c r="C173" s="13">
        <f>SUMIF(SIGAF!$B$2:$B$491,$A173,SIGAF!$F$2:$F$491)</f>
        <v>57375320</v>
      </c>
      <c r="D173" s="13">
        <f>SUMIF(SIGAF!$B$2:$B$491,$A173,SIGAF!$G$2:$G$491)</f>
        <v>57375320</v>
      </c>
      <c r="E173" s="13">
        <f>SUMIF(SIGAF!$B$2:$B$491,$A173,SIGAF!$H$2:$H$491)</f>
        <v>0</v>
      </c>
      <c r="F173" s="66">
        <f t="shared" si="35"/>
        <v>0</v>
      </c>
      <c r="G173" s="13">
        <f>SUMIF(SIGAF!$B$2:$B$491,$A173,SIGAF!$I$2:$I$491)</f>
        <v>0</v>
      </c>
      <c r="H173" s="66">
        <f t="shared" si="36"/>
        <v>0</v>
      </c>
      <c r="I173" s="13">
        <f>SUMIF(SIGAF!$B$2:$B$491,$A173,SIGAF!$J$2:$J$491)</f>
        <v>0</v>
      </c>
      <c r="J173" s="66">
        <f t="shared" si="36"/>
        <v>0</v>
      </c>
      <c r="K173" s="13">
        <f>SUMIF(SIGAF!$B$2:$B$491,$A173,SIGAF!$K$2:$K$491)</f>
        <v>55404023.350000001</v>
      </c>
      <c r="L173" s="142">
        <f t="shared" si="40"/>
        <v>0.96564208007903052</v>
      </c>
      <c r="M173" s="13">
        <f>SUMIF(SIGAF!$B$2:$B$491,$A173,SIGAF!$L$2:$L$491)</f>
        <v>55404023.350000001</v>
      </c>
      <c r="N173" s="66">
        <f t="shared" si="37"/>
        <v>0.96564208007903052</v>
      </c>
      <c r="O173" s="85">
        <f>SUMIF(SIGAF!$B$2:$B$491,$A173,SIGAF!$M$2:$M$491)</f>
        <v>1971296.65</v>
      </c>
      <c r="P173" s="66">
        <f t="shared" si="38"/>
        <v>3.4357919920969503E-2</v>
      </c>
      <c r="Q173" s="13">
        <f>SUMIF(SIGAF!$B$2:$B$491,$A173,SIGAF!$N$2:$N$491)</f>
        <v>1971296.65</v>
      </c>
      <c r="R173" s="66">
        <f t="shared" si="39"/>
        <v>3.4357919920969503E-2</v>
      </c>
    </row>
    <row r="174" spans="1:18" x14ac:dyDescent="0.25">
      <c r="A174" s="11" t="s">
        <v>265</v>
      </c>
      <c r="B174" s="11" t="s">
        <v>531</v>
      </c>
      <c r="C174" s="13">
        <f>SUMIF(SIGAF!$B$2:$B$491,$A174,SIGAF!$F$2:$F$491)</f>
        <v>3092000</v>
      </c>
      <c r="D174" s="13">
        <f>SUMIF(SIGAF!$B$2:$B$491,$A174,SIGAF!$G$2:$G$491)</f>
        <v>3092000</v>
      </c>
      <c r="E174" s="13">
        <f>SUMIF(SIGAF!$B$2:$B$491,$A174,SIGAF!$H$2:$H$491)</f>
        <v>0</v>
      </c>
      <c r="F174" s="66">
        <f t="shared" si="35"/>
        <v>0</v>
      </c>
      <c r="G174" s="13">
        <f>SUMIF(SIGAF!$B$2:$B$491,$A174,SIGAF!$I$2:$I$491)</f>
        <v>0</v>
      </c>
      <c r="H174" s="66">
        <f t="shared" si="36"/>
        <v>0</v>
      </c>
      <c r="I174" s="13">
        <f>SUMIF(SIGAF!$B$2:$B$491,$A174,SIGAF!$J$2:$J$491)</f>
        <v>0</v>
      </c>
      <c r="J174" s="66">
        <f t="shared" si="36"/>
        <v>0</v>
      </c>
      <c r="K174" s="13">
        <f>SUMIF(SIGAF!$B$2:$B$491,$A174,SIGAF!$K$2:$K$491)</f>
        <v>2473600.02</v>
      </c>
      <c r="L174" s="142">
        <f t="shared" si="40"/>
        <v>0.80000000646830527</v>
      </c>
      <c r="M174" s="13">
        <f>SUMIF(SIGAF!$B$2:$B$491,$A174,SIGAF!$L$2:$L$491)</f>
        <v>2473600.02</v>
      </c>
      <c r="N174" s="66">
        <f t="shared" si="37"/>
        <v>0.80000000646830527</v>
      </c>
      <c r="O174" s="85">
        <f>SUMIF(SIGAF!$B$2:$B$491,$A174,SIGAF!$M$2:$M$491)</f>
        <v>618399.98</v>
      </c>
      <c r="P174" s="66">
        <f t="shared" si="38"/>
        <v>0.1999999935316947</v>
      </c>
      <c r="Q174" s="13">
        <f>SUMIF(SIGAF!$B$2:$B$491,$A174,SIGAF!$N$2:$N$491)</f>
        <v>618399.98</v>
      </c>
      <c r="R174" s="66">
        <f t="shared" si="39"/>
        <v>0.1999999935316947</v>
      </c>
    </row>
    <row r="175" spans="1:18" x14ac:dyDescent="0.25">
      <c r="A175" s="11" t="s">
        <v>319</v>
      </c>
      <c r="B175" s="11" t="s">
        <v>531</v>
      </c>
      <c r="C175" s="13">
        <f>SUMIF(SIGAF!$B$2:$B$491,$A175,SIGAF!$F$2:$F$491)</f>
        <v>2051000</v>
      </c>
      <c r="D175" s="13">
        <f>SUMIF(SIGAF!$B$2:$B$491,$A175,SIGAF!$G$2:$G$491)</f>
        <v>2051000</v>
      </c>
      <c r="E175" s="13">
        <f>SUMIF(SIGAF!$B$2:$B$491,$A175,SIGAF!$H$2:$H$491)</f>
        <v>0</v>
      </c>
      <c r="F175" s="66">
        <f t="shared" si="35"/>
        <v>0</v>
      </c>
      <c r="G175" s="13">
        <f>SUMIF(SIGAF!$B$2:$B$491,$A175,SIGAF!$I$2:$I$491)</f>
        <v>0</v>
      </c>
      <c r="H175" s="66">
        <f t="shared" si="36"/>
        <v>0</v>
      </c>
      <c r="I175" s="13">
        <f>SUMIF(SIGAF!$B$2:$B$491,$A175,SIGAF!$J$2:$J$491)</f>
        <v>0</v>
      </c>
      <c r="J175" s="66">
        <f t="shared" si="36"/>
        <v>0</v>
      </c>
      <c r="K175" s="13">
        <f>SUMIF(SIGAF!$B$2:$B$491,$A175,SIGAF!$K$2:$K$491)</f>
        <v>1606082</v>
      </c>
      <c r="L175" s="142">
        <f t="shared" si="40"/>
        <v>0.78307264748902972</v>
      </c>
      <c r="M175" s="13">
        <f>SUMIF(SIGAF!$B$2:$B$491,$A175,SIGAF!$L$2:$L$491)</f>
        <v>1606082</v>
      </c>
      <c r="N175" s="66">
        <f t="shared" si="37"/>
        <v>0.78307264748902972</v>
      </c>
      <c r="O175" s="85">
        <f>SUMIF(SIGAF!$B$2:$B$491,$A175,SIGAF!$M$2:$M$491)</f>
        <v>444918</v>
      </c>
      <c r="P175" s="66">
        <f t="shared" si="38"/>
        <v>0.21692735251097026</v>
      </c>
      <c r="Q175" s="13">
        <f>SUMIF(SIGAF!$B$2:$B$491,$A175,SIGAF!$N$2:$N$491)</f>
        <v>444918</v>
      </c>
      <c r="R175" s="66">
        <f t="shared" si="39"/>
        <v>0.21692735251097026</v>
      </c>
    </row>
    <row r="176" spans="1:18" x14ac:dyDescent="0.25">
      <c r="A176" s="11" t="s">
        <v>354</v>
      </c>
      <c r="B176" s="11" t="s">
        <v>531</v>
      </c>
      <c r="C176" s="13">
        <f>SUMIF(SIGAF!$B$2:$B$491,$A176,SIGAF!$F$2:$F$491)</f>
        <v>16835836</v>
      </c>
      <c r="D176" s="13">
        <f>SUMIF(SIGAF!$B$2:$B$491,$A176,SIGAF!$G$2:$G$491)</f>
        <v>16835836</v>
      </c>
      <c r="E176" s="13">
        <f>SUMIF(SIGAF!$B$2:$B$491,$A176,SIGAF!$H$2:$H$491)</f>
        <v>0</v>
      </c>
      <c r="F176" s="66">
        <f t="shared" si="35"/>
        <v>0</v>
      </c>
      <c r="G176" s="13">
        <f>SUMIF(SIGAF!$B$2:$B$491,$A176,SIGAF!$I$2:$I$491)</f>
        <v>0</v>
      </c>
      <c r="H176" s="66">
        <f t="shared" si="36"/>
        <v>0</v>
      </c>
      <c r="I176" s="13">
        <f>SUMIF(SIGAF!$B$2:$B$491,$A176,SIGAF!$J$2:$J$491)</f>
        <v>0</v>
      </c>
      <c r="J176" s="66">
        <f t="shared" si="36"/>
        <v>0</v>
      </c>
      <c r="K176" s="13">
        <f>SUMIF(SIGAF!$B$2:$B$491,$A176,SIGAF!$K$2:$K$491)</f>
        <v>15794697.83</v>
      </c>
      <c r="L176" s="142">
        <f t="shared" si="40"/>
        <v>0.93815940176656509</v>
      </c>
      <c r="M176" s="13">
        <f>SUMIF(SIGAF!$B$2:$B$491,$A176,SIGAF!$L$2:$L$491)</f>
        <v>15794697.83</v>
      </c>
      <c r="N176" s="66">
        <f t="shared" si="37"/>
        <v>0.93815940176656509</v>
      </c>
      <c r="O176" s="85">
        <f>SUMIF(SIGAF!$B$2:$B$491,$A176,SIGAF!$M$2:$M$491)</f>
        <v>1041138.17</v>
      </c>
      <c r="P176" s="66">
        <f t="shared" si="38"/>
        <v>6.1840598233434921E-2</v>
      </c>
      <c r="Q176" s="13">
        <f>SUMIF(SIGAF!$B$2:$B$491,$A176,SIGAF!$N$2:$N$491)</f>
        <v>1041138.17</v>
      </c>
      <c r="R176" s="66">
        <f t="shared" si="39"/>
        <v>6.1840598233434921E-2</v>
      </c>
    </row>
    <row r="177" spans="1:18" x14ac:dyDescent="0.25">
      <c r="A177" s="11" t="s">
        <v>383</v>
      </c>
      <c r="B177" s="11" t="s">
        <v>531</v>
      </c>
      <c r="C177" s="13">
        <f>SUMIF(SIGAF!$B$2:$B$491,$A177,SIGAF!$F$2:$F$491)</f>
        <v>131097456</v>
      </c>
      <c r="D177" s="13">
        <f>SUMIF(SIGAF!$B$2:$B$491,$A177,SIGAF!$G$2:$G$491)</f>
        <v>131097456</v>
      </c>
      <c r="E177" s="13">
        <f>SUMIF(SIGAF!$B$2:$B$491,$A177,SIGAF!$H$2:$H$491)</f>
        <v>0</v>
      </c>
      <c r="F177" s="66">
        <f t="shared" si="35"/>
        <v>0</v>
      </c>
      <c r="G177" s="13">
        <f>SUMIF(SIGAF!$B$2:$B$491,$A177,SIGAF!$I$2:$I$491)</f>
        <v>0</v>
      </c>
      <c r="H177" s="66">
        <f t="shared" si="36"/>
        <v>0</v>
      </c>
      <c r="I177" s="13">
        <f>SUMIF(SIGAF!$B$2:$B$491,$A177,SIGAF!$J$2:$J$491)</f>
        <v>0</v>
      </c>
      <c r="J177" s="66">
        <f t="shared" si="36"/>
        <v>0</v>
      </c>
      <c r="K177" s="13">
        <f>SUMIF(SIGAF!$B$2:$B$491,$A177,SIGAF!$K$2:$K$491)</f>
        <v>123752687</v>
      </c>
      <c r="L177" s="142">
        <f t="shared" si="40"/>
        <v>0.94397474044042473</v>
      </c>
      <c r="M177" s="13">
        <f>SUMIF(SIGAF!$B$2:$B$491,$A177,SIGAF!$L$2:$L$491)</f>
        <v>123752687</v>
      </c>
      <c r="N177" s="66">
        <f t="shared" si="37"/>
        <v>0.94397474044042473</v>
      </c>
      <c r="O177" s="85">
        <f>SUMIF(SIGAF!$B$2:$B$491,$A177,SIGAF!$M$2:$M$491)</f>
        <v>7344769</v>
      </c>
      <c r="P177" s="66">
        <f t="shared" si="38"/>
        <v>5.6025259559575283E-2</v>
      </c>
      <c r="Q177" s="13">
        <f>SUMIF(SIGAF!$B$2:$B$491,$A177,SIGAF!$N$2:$N$491)</f>
        <v>7344769</v>
      </c>
      <c r="R177" s="66">
        <f t="shared" si="39"/>
        <v>5.6025259559575283E-2</v>
      </c>
    </row>
    <row r="178" spans="1:18" x14ac:dyDescent="0.25">
      <c r="A178" s="11" t="s">
        <v>402</v>
      </c>
      <c r="B178" s="11" t="s">
        <v>531</v>
      </c>
      <c r="C178" s="13">
        <f>SUMIF(SIGAF!$B$2:$B$491,$A178,SIGAF!$F$2:$F$491)</f>
        <v>24731430</v>
      </c>
      <c r="D178" s="13">
        <f>SUMIF(SIGAF!$B$2:$B$491,$A178,SIGAF!$G$2:$G$491)</f>
        <v>24731430</v>
      </c>
      <c r="E178" s="13">
        <f>SUMIF(SIGAF!$B$2:$B$491,$A178,SIGAF!$H$2:$H$491)</f>
        <v>0</v>
      </c>
      <c r="F178" s="66">
        <f t="shared" si="35"/>
        <v>0</v>
      </c>
      <c r="G178" s="13">
        <f>SUMIF(SIGAF!$B$2:$B$491,$A178,SIGAF!$I$2:$I$491)</f>
        <v>0</v>
      </c>
      <c r="H178" s="66">
        <f t="shared" si="36"/>
        <v>0</v>
      </c>
      <c r="I178" s="13">
        <f>SUMIF(SIGAF!$B$2:$B$491,$A178,SIGAF!$J$2:$J$491)</f>
        <v>0</v>
      </c>
      <c r="J178" s="66">
        <f t="shared" si="36"/>
        <v>0</v>
      </c>
      <c r="K178" s="13">
        <f>SUMIF(SIGAF!$B$2:$B$491,$A178,SIGAF!$K$2:$K$491)</f>
        <v>23881044.559999999</v>
      </c>
      <c r="L178" s="142">
        <f t="shared" si="40"/>
        <v>0.96561519329856782</v>
      </c>
      <c r="M178" s="13">
        <f>SUMIF(SIGAF!$B$2:$B$491,$A178,SIGAF!$L$2:$L$491)</f>
        <v>23881044.559999999</v>
      </c>
      <c r="N178" s="66">
        <f t="shared" si="37"/>
        <v>0.96561519329856782</v>
      </c>
      <c r="O178" s="85">
        <f>SUMIF(SIGAF!$B$2:$B$491,$A178,SIGAF!$M$2:$M$491)</f>
        <v>850385.44</v>
      </c>
      <c r="P178" s="66">
        <f t="shared" si="38"/>
        <v>3.4384806701432145E-2</v>
      </c>
      <c r="Q178" s="13">
        <f>SUMIF(SIGAF!$B$2:$B$491,$A178,SIGAF!$N$2:$N$491)</f>
        <v>850385.44</v>
      </c>
      <c r="R178" s="66">
        <f t="shared" si="39"/>
        <v>3.4384806701432145E-2</v>
      </c>
    </row>
    <row r="179" spans="1:18" x14ac:dyDescent="0.25">
      <c r="A179" s="11" t="s">
        <v>384</v>
      </c>
      <c r="B179" s="11" t="s">
        <v>532</v>
      </c>
      <c r="C179" s="13">
        <f>SUMIF(SIGAF!$B$2:$B$491,$A179,SIGAF!$F$2:$F$491)</f>
        <v>450000000</v>
      </c>
      <c r="D179" s="13">
        <f>SUMIF(SIGAF!$B$2:$B$491,$A179,SIGAF!$G$2:$G$491)</f>
        <v>450000000</v>
      </c>
      <c r="E179" s="13">
        <f>SUMIF(SIGAF!$B$2:$B$491,$A179,SIGAF!$H$2:$H$491)</f>
        <v>0</v>
      </c>
      <c r="F179" s="66">
        <f t="shared" si="35"/>
        <v>0</v>
      </c>
      <c r="G179" s="13">
        <f>SUMIF(SIGAF!$B$2:$B$491,$A179,SIGAF!$I$2:$I$491)</f>
        <v>32500000</v>
      </c>
      <c r="H179" s="66">
        <f t="shared" si="36"/>
        <v>7.2222222222222215E-2</v>
      </c>
      <c r="I179" s="13">
        <f>SUMIF(SIGAF!$B$2:$B$491,$A179,SIGAF!$J$2:$J$491)</f>
        <v>0</v>
      </c>
      <c r="J179" s="66">
        <f t="shared" si="36"/>
        <v>0</v>
      </c>
      <c r="K179" s="13">
        <f>SUMIF(SIGAF!$B$2:$B$491,$A179,SIGAF!$K$2:$K$491)</f>
        <v>417500000</v>
      </c>
      <c r="L179" s="142">
        <f t="shared" si="40"/>
        <v>0.92777777777777781</v>
      </c>
      <c r="M179" s="13">
        <f>SUMIF(SIGAF!$B$2:$B$491,$A179,SIGAF!$L$2:$L$491)</f>
        <v>417500000</v>
      </c>
      <c r="N179" s="66">
        <f t="shared" si="37"/>
        <v>0.92777777777777781</v>
      </c>
      <c r="O179" s="85">
        <f>SUMIF(SIGAF!$B$2:$B$491,$A179,SIGAF!$M$2:$M$491)</f>
        <v>0</v>
      </c>
      <c r="P179" s="66">
        <f t="shared" si="38"/>
        <v>0</v>
      </c>
      <c r="Q179" s="13">
        <f>SUMIF(SIGAF!$B$2:$B$491,$A179,SIGAF!$N$2:$N$491)</f>
        <v>0</v>
      </c>
      <c r="R179" s="66">
        <f t="shared" si="39"/>
        <v>0</v>
      </c>
    </row>
    <row r="180" spans="1:18" x14ac:dyDescent="0.25">
      <c r="A180" s="11" t="s">
        <v>386</v>
      </c>
      <c r="B180" s="11" t="s">
        <v>533</v>
      </c>
      <c r="C180" s="13">
        <f>SUMIF(SIGAF!$B$2:$B$491,$A180,SIGAF!$F$2:$F$491)</f>
        <v>450000000</v>
      </c>
      <c r="D180" s="13">
        <f>SUMIF(SIGAF!$B$2:$B$491,$A180,SIGAF!$G$2:$G$491)</f>
        <v>450000000</v>
      </c>
      <c r="E180" s="13">
        <f>SUMIF(SIGAF!$B$2:$B$491,$A180,SIGAF!$H$2:$H$491)</f>
        <v>0</v>
      </c>
      <c r="F180" s="66">
        <f t="shared" si="35"/>
        <v>0</v>
      </c>
      <c r="G180" s="13">
        <f>SUMIF(SIGAF!$B$2:$B$491,$A180,SIGAF!$I$2:$I$491)</f>
        <v>32500000</v>
      </c>
      <c r="H180" s="66">
        <f t="shared" si="36"/>
        <v>7.2222222222222215E-2</v>
      </c>
      <c r="I180" s="13">
        <f>SUMIF(SIGAF!$B$2:$B$491,$A180,SIGAF!$J$2:$J$491)</f>
        <v>0</v>
      </c>
      <c r="J180" s="66">
        <f t="shared" si="36"/>
        <v>0</v>
      </c>
      <c r="K180" s="13">
        <f>SUMIF(SIGAF!$B$2:$B$491,$A180,SIGAF!$K$2:$K$491)</f>
        <v>417500000</v>
      </c>
      <c r="L180" s="142">
        <f t="shared" si="40"/>
        <v>0.92777777777777781</v>
      </c>
      <c r="M180" s="13">
        <f>SUMIF(SIGAF!$B$2:$B$491,$A180,SIGAF!$L$2:$L$491)</f>
        <v>417500000</v>
      </c>
      <c r="N180" s="66">
        <f t="shared" si="37"/>
        <v>0.92777777777777781</v>
      </c>
      <c r="O180" s="85">
        <f>SUMIF(SIGAF!$B$2:$B$491,$A180,SIGAF!$M$2:$M$491)</f>
        <v>0</v>
      </c>
      <c r="P180" s="66">
        <f t="shared" si="38"/>
        <v>0</v>
      </c>
      <c r="Q180" s="13">
        <f>SUMIF(SIGAF!$B$2:$B$491,$A180,SIGAF!$N$2:$N$491)</f>
        <v>0</v>
      </c>
      <c r="R180" s="66">
        <f t="shared" si="39"/>
        <v>0</v>
      </c>
    </row>
    <row r="181" spans="1:18" x14ac:dyDescent="0.25">
      <c r="A181" s="11" t="s">
        <v>267</v>
      </c>
      <c r="B181" s="11" t="s">
        <v>268</v>
      </c>
      <c r="C181" s="13">
        <f>SUMIF(SIGAF!$B$2:$B$491,$A181,SIGAF!$F$2:$F$491)</f>
        <v>1941897614</v>
      </c>
      <c r="D181" s="13">
        <f>SUMIF(SIGAF!$B$2:$B$491,$A181,SIGAF!$G$2:$G$491)</f>
        <v>1941897614</v>
      </c>
      <c r="E181" s="13">
        <f>SUMIF(SIGAF!$B$2:$B$491,$A181,SIGAF!$H$2:$H$491)</f>
        <v>0</v>
      </c>
      <c r="F181" s="66">
        <f t="shared" si="35"/>
        <v>0</v>
      </c>
      <c r="G181" s="13">
        <f>SUMIF(SIGAF!$B$2:$B$491,$A181,SIGAF!$I$2:$I$491)</f>
        <v>2294107.35</v>
      </c>
      <c r="H181" s="66">
        <f t="shared" si="36"/>
        <v>1.1813739990516308E-3</v>
      </c>
      <c r="I181" s="13">
        <f>SUMIF(SIGAF!$B$2:$B$491,$A181,SIGAF!$J$2:$J$491)</f>
        <v>0</v>
      </c>
      <c r="J181" s="66">
        <f t="shared" si="36"/>
        <v>0</v>
      </c>
      <c r="K181" s="13">
        <f>SUMIF(SIGAF!$B$2:$B$491,$A181,SIGAF!$K$2:$K$491)</f>
        <v>1908777761.8299999</v>
      </c>
      <c r="L181" s="142">
        <f t="shared" si="40"/>
        <v>0.98294459402430678</v>
      </c>
      <c r="M181" s="13">
        <f>SUMIF(SIGAF!$B$2:$B$491,$A181,SIGAF!$L$2:$L$491)</f>
        <v>1817923874.3400002</v>
      </c>
      <c r="N181" s="66">
        <f t="shared" si="37"/>
        <v>0.93615845718836144</v>
      </c>
      <c r="O181" s="85">
        <f>SUMIF(SIGAF!$B$2:$B$491,$A181,SIGAF!$M$2:$M$491)</f>
        <v>30825744.82</v>
      </c>
      <c r="P181" s="66">
        <f t="shared" si="38"/>
        <v>1.5874031976641587E-2</v>
      </c>
      <c r="Q181" s="13">
        <f>SUMIF(SIGAF!$B$2:$B$491,$A181,SIGAF!$N$2:$N$491)</f>
        <v>30825744.82</v>
      </c>
      <c r="R181" s="66">
        <f t="shared" si="39"/>
        <v>1.5874031976641587E-2</v>
      </c>
    </row>
    <row r="182" spans="1:18" x14ac:dyDescent="0.25">
      <c r="A182" s="11" t="s">
        <v>269</v>
      </c>
      <c r="B182" s="11" t="s">
        <v>270</v>
      </c>
      <c r="C182" s="13">
        <f>SUMIF(SIGAF!$B$2:$B$491,$A182,SIGAF!$F$2:$F$491)</f>
        <v>1491104314</v>
      </c>
      <c r="D182" s="13">
        <f>SUMIF(SIGAF!$B$2:$B$491,$A182,SIGAF!$G$2:$G$491)</f>
        <v>1491104314</v>
      </c>
      <c r="E182" s="13">
        <f>SUMIF(SIGAF!$B$2:$B$491,$A182,SIGAF!$H$2:$H$491)</f>
        <v>0</v>
      </c>
      <c r="F182" s="66">
        <f t="shared" si="35"/>
        <v>0</v>
      </c>
      <c r="G182" s="13">
        <f>SUMIF(SIGAF!$B$2:$B$491,$A182,SIGAF!$I$2:$I$491)</f>
        <v>2294107.35</v>
      </c>
      <c r="H182" s="66">
        <f t="shared" si="36"/>
        <v>1.5385290810713864E-3</v>
      </c>
      <c r="I182" s="13">
        <f>SUMIF(SIGAF!$B$2:$B$491,$A182,SIGAF!$J$2:$J$491)</f>
        <v>0</v>
      </c>
      <c r="J182" s="66">
        <f t="shared" si="36"/>
        <v>0</v>
      </c>
      <c r="K182" s="13">
        <f>SUMIF(SIGAF!$B$2:$B$491,$A182,SIGAF!$K$2:$K$491)</f>
        <v>1485711404.4099998</v>
      </c>
      <c r="L182" s="142">
        <f t="shared" si="40"/>
        <v>0.99638327812523508</v>
      </c>
      <c r="M182" s="13">
        <f>SUMIF(SIGAF!$B$2:$B$491,$A182,SIGAF!$L$2:$L$491)</f>
        <v>1394857516.9199998</v>
      </c>
      <c r="N182" s="66">
        <f t="shared" si="37"/>
        <v>0.93545267344723126</v>
      </c>
      <c r="O182" s="85">
        <f>SUMIF(SIGAF!$B$2:$B$491,$A182,SIGAF!$M$2:$M$491)</f>
        <v>3098802.2399999998</v>
      </c>
      <c r="P182" s="66">
        <f t="shared" si="38"/>
        <v>2.0781927936934395E-3</v>
      </c>
      <c r="Q182" s="13">
        <f>SUMIF(SIGAF!$B$2:$B$491,$A182,SIGAF!$N$2:$N$491)</f>
        <v>3098802.2399999998</v>
      </c>
      <c r="R182" s="66">
        <f t="shared" si="39"/>
        <v>2.0781927936934395E-3</v>
      </c>
    </row>
    <row r="183" spans="1:18" x14ac:dyDescent="0.25">
      <c r="A183" s="11" t="s">
        <v>271</v>
      </c>
      <c r="B183" s="11" t="s">
        <v>272</v>
      </c>
      <c r="C183" s="13">
        <f>SUMIF(SIGAF!$B$2:$B$491,$A183,SIGAF!$F$2:$F$491)</f>
        <v>450793300</v>
      </c>
      <c r="D183" s="13">
        <f>SUMIF(SIGAF!$B$2:$B$491,$A183,SIGAF!$G$2:$G$491)</f>
        <v>450793300</v>
      </c>
      <c r="E183" s="13">
        <f>SUMIF(SIGAF!$B$2:$B$491,$A183,SIGAF!$H$2:$H$491)</f>
        <v>0</v>
      </c>
      <c r="F183" s="66">
        <f t="shared" si="35"/>
        <v>0</v>
      </c>
      <c r="G183" s="13">
        <f>SUMIF(SIGAF!$B$2:$B$491,$A183,SIGAF!$I$2:$I$491)</f>
        <v>0</v>
      </c>
      <c r="H183" s="66">
        <f t="shared" si="36"/>
        <v>0</v>
      </c>
      <c r="I183" s="13">
        <f>SUMIF(SIGAF!$B$2:$B$491,$A183,SIGAF!$J$2:$J$491)</f>
        <v>0</v>
      </c>
      <c r="J183" s="66">
        <f t="shared" si="36"/>
        <v>0</v>
      </c>
      <c r="K183" s="13">
        <f>SUMIF(SIGAF!$B$2:$B$491,$A183,SIGAF!$K$2:$K$491)</f>
        <v>423066357.41999996</v>
      </c>
      <c r="L183" s="142">
        <f t="shared" si="40"/>
        <v>0.93849300204772335</v>
      </c>
      <c r="M183" s="13">
        <f>SUMIF(SIGAF!$B$2:$B$491,$A183,SIGAF!$L$2:$L$491)</f>
        <v>423066357.41999996</v>
      </c>
      <c r="N183" s="66">
        <f t="shared" si="37"/>
        <v>0.93849300204772335</v>
      </c>
      <c r="O183" s="85">
        <f>SUMIF(SIGAF!$B$2:$B$491,$A183,SIGAF!$M$2:$M$491)</f>
        <v>27726942.579999998</v>
      </c>
      <c r="P183" s="66">
        <f t="shared" si="38"/>
        <v>6.1506997952276571E-2</v>
      </c>
      <c r="Q183" s="13">
        <f>SUMIF(SIGAF!$B$2:$B$491,$A183,SIGAF!$N$2:$N$491)</f>
        <v>27726942.579999998</v>
      </c>
      <c r="R183" s="66">
        <f t="shared" si="39"/>
        <v>6.1506997952276571E-2</v>
      </c>
    </row>
    <row r="184" spans="1:18" x14ac:dyDescent="0.25">
      <c r="A184" s="11" t="s">
        <v>273</v>
      </c>
      <c r="B184" s="11" t="s">
        <v>534</v>
      </c>
      <c r="C184" s="13">
        <f>SUMIF(SIGAF!$B$2:$B$491,$A184,SIGAF!$F$2:$F$491)</f>
        <v>267861521.16999999</v>
      </c>
      <c r="D184" s="13">
        <f>SUMIF(SIGAF!$B$2:$B$491,$A184,SIGAF!$G$2:$G$491)</f>
        <v>267861521.16999999</v>
      </c>
      <c r="E184" s="13">
        <f>SUMIF(SIGAF!$B$2:$B$491,$A184,SIGAF!$H$2:$H$491)</f>
        <v>0</v>
      </c>
      <c r="F184" s="66">
        <f t="shared" si="35"/>
        <v>0</v>
      </c>
      <c r="G184" s="13">
        <f>SUMIF(SIGAF!$B$2:$B$491,$A184,SIGAF!$I$2:$I$491)</f>
        <v>43078687.030000001</v>
      </c>
      <c r="H184" s="66">
        <f t="shared" si="36"/>
        <v>0.16082446945658851</v>
      </c>
      <c r="I184" s="13">
        <f>SUMIF(SIGAF!$B$2:$B$491,$A184,SIGAF!$J$2:$J$491)</f>
        <v>0</v>
      </c>
      <c r="J184" s="66">
        <f t="shared" si="36"/>
        <v>0</v>
      </c>
      <c r="K184" s="13">
        <f>SUMIF(SIGAF!$B$2:$B$491,$A184,SIGAF!$K$2:$K$491)</f>
        <v>80796038.329999998</v>
      </c>
      <c r="L184" s="142">
        <f t="shared" si="40"/>
        <v>0.30163361268572164</v>
      </c>
      <c r="M184" s="13">
        <f>SUMIF(SIGAF!$B$2:$B$491,$A184,SIGAF!$L$2:$L$491)</f>
        <v>80683082.019999996</v>
      </c>
      <c r="N184" s="66">
        <f t="shared" si="37"/>
        <v>0.30121191602131603</v>
      </c>
      <c r="O184" s="85">
        <f>SUMIF(SIGAF!$B$2:$B$491,$A184,SIGAF!$M$2:$M$491)</f>
        <v>143986795.81</v>
      </c>
      <c r="P184" s="66">
        <f t="shared" si="38"/>
        <v>0.5375419178576899</v>
      </c>
      <c r="Q184" s="13">
        <f>SUMIF(SIGAF!$B$2:$B$491,$A184,SIGAF!$N$2:$N$491)</f>
        <v>143986795.81</v>
      </c>
      <c r="R184" s="66">
        <f t="shared" si="39"/>
        <v>0.5375419178576899</v>
      </c>
    </row>
    <row r="185" spans="1:18" x14ac:dyDescent="0.25">
      <c r="A185" s="11" t="s">
        <v>275</v>
      </c>
      <c r="B185" s="11" t="s">
        <v>276</v>
      </c>
      <c r="C185" s="13">
        <f>SUMIF(SIGAF!$B$2:$B$491,$A185,SIGAF!$F$2:$F$491)</f>
        <v>195269917.71000001</v>
      </c>
      <c r="D185" s="13">
        <f>SUMIF(SIGAF!$B$2:$B$491,$A185,SIGAF!$G$2:$G$491)</f>
        <v>195269917.71000001</v>
      </c>
      <c r="E185" s="13">
        <f>SUMIF(SIGAF!$B$2:$B$491,$A185,SIGAF!$H$2:$H$491)</f>
        <v>0</v>
      </c>
      <c r="F185" s="66">
        <f t="shared" si="35"/>
        <v>0</v>
      </c>
      <c r="G185" s="13">
        <f>SUMIF(SIGAF!$B$2:$B$491,$A185,SIGAF!$I$2:$I$491)</f>
        <v>29897166.530000001</v>
      </c>
      <c r="H185" s="66">
        <f t="shared" si="36"/>
        <v>0.15310687319693039</v>
      </c>
      <c r="I185" s="13">
        <f>SUMIF(SIGAF!$B$2:$B$491,$A185,SIGAF!$J$2:$J$491)</f>
        <v>0</v>
      </c>
      <c r="J185" s="66">
        <f t="shared" si="36"/>
        <v>0</v>
      </c>
      <c r="K185" s="13">
        <f>SUMIF(SIGAF!$B$2:$B$491,$A185,SIGAF!$K$2:$K$491)</f>
        <v>30932969.48</v>
      </c>
      <c r="L185" s="142">
        <f t="shared" si="40"/>
        <v>0.15841134078798194</v>
      </c>
      <c r="M185" s="13">
        <f>SUMIF(SIGAF!$B$2:$B$491,$A185,SIGAF!$L$2:$L$491)</f>
        <v>30932969.48</v>
      </c>
      <c r="N185" s="66">
        <f t="shared" si="37"/>
        <v>0.15841134078798194</v>
      </c>
      <c r="O185" s="85">
        <f>SUMIF(SIGAF!$B$2:$B$491,$A185,SIGAF!$M$2:$M$491)</f>
        <v>134439781.69999999</v>
      </c>
      <c r="P185" s="66">
        <f t="shared" si="38"/>
        <v>0.68848178601508758</v>
      </c>
      <c r="Q185" s="13">
        <f>SUMIF(SIGAF!$B$2:$B$491,$A185,SIGAF!$N$2:$N$491)</f>
        <v>134439781.69999999</v>
      </c>
      <c r="R185" s="66">
        <f t="shared" si="39"/>
        <v>0.68848178601508758</v>
      </c>
    </row>
    <row r="186" spans="1:18" x14ac:dyDescent="0.25">
      <c r="A186" s="11" t="s">
        <v>277</v>
      </c>
      <c r="B186" s="11" t="s">
        <v>535</v>
      </c>
      <c r="C186" s="13">
        <f>SUMIF(SIGAF!$B$2:$B$491,$A186,SIGAF!$F$2:$F$491)</f>
        <v>72591603.460000008</v>
      </c>
      <c r="D186" s="13">
        <f>SUMIF(SIGAF!$B$2:$B$491,$A186,SIGAF!$G$2:$G$491)</f>
        <v>72591603.460000008</v>
      </c>
      <c r="E186" s="13">
        <f>SUMIF(SIGAF!$B$2:$B$491,$A186,SIGAF!$H$2:$H$491)</f>
        <v>0</v>
      </c>
      <c r="F186" s="66">
        <f t="shared" si="35"/>
        <v>0</v>
      </c>
      <c r="G186" s="13">
        <f>SUMIF(SIGAF!$B$2:$B$491,$A186,SIGAF!$I$2:$I$491)</f>
        <v>13181520.5</v>
      </c>
      <c r="H186" s="66">
        <f t="shared" si="36"/>
        <v>0.18158464439022048</v>
      </c>
      <c r="I186" s="13">
        <f>SUMIF(SIGAF!$B$2:$B$491,$A186,SIGAF!$J$2:$J$491)</f>
        <v>0</v>
      </c>
      <c r="J186" s="66">
        <f t="shared" si="36"/>
        <v>0</v>
      </c>
      <c r="K186" s="13">
        <f>SUMIF(SIGAF!$B$2:$B$491,$A186,SIGAF!$K$2:$K$491)</f>
        <v>49863068.850000001</v>
      </c>
      <c r="L186" s="142">
        <f t="shared" si="40"/>
        <v>0.6868985732967855</v>
      </c>
      <c r="M186" s="13">
        <f>SUMIF(SIGAF!$B$2:$B$491,$A186,SIGAF!$L$2:$L$491)</f>
        <v>49750112.539999999</v>
      </c>
      <c r="N186" s="66">
        <f t="shared" si="37"/>
        <v>0.68534252129330209</v>
      </c>
      <c r="O186" s="85">
        <f>SUMIF(SIGAF!$B$2:$B$491,$A186,SIGAF!$M$2:$M$491)</f>
        <v>9547014.1099999994</v>
      </c>
      <c r="P186" s="66">
        <f t="shared" si="38"/>
        <v>0.13151678231299394</v>
      </c>
      <c r="Q186" s="13">
        <f>SUMIF(SIGAF!$B$2:$B$491,$A186,SIGAF!$N$2:$N$491)</f>
        <v>9547014.1099999994</v>
      </c>
      <c r="R186" s="66">
        <f t="shared" si="39"/>
        <v>0.13151678231299394</v>
      </c>
    </row>
    <row r="187" spans="1:18" x14ac:dyDescent="0.25">
      <c r="A187" s="11" t="s">
        <v>279</v>
      </c>
      <c r="B187" s="11" t="s">
        <v>536</v>
      </c>
      <c r="C187" s="13">
        <f>SUMIF(SIGAF!$B$2:$B$491,$A187,SIGAF!$F$2:$F$491)</f>
        <v>407413000</v>
      </c>
      <c r="D187" s="13">
        <f>SUMIF(SIGAF!$B$2:$B$491,$A187,SIGAF!$G$2:$G$491)</f>
        <v>407413000</v>
      </c>
      <c r="E187" s="13">
        <f>SUMIF(SIGAF!$B$2:$B$491,$A187,SIGAF!$H$2:$H$491)</f>
        <v>0</v>
      </c>
      <c r="F187" s="66">
        <f t="shared" si="35"/>
        <v>0</v>
      </c>
      <c r="G187" s="13">
        <f>SUMIF(SIGAF!$B$2:$B$491,$A187,SIGAF!$I$2:$I$491)</f>
        <v>0</v>
      </c>
      <c r="H187" s="66">
        <f t="shared" si="36"/>
        <v>0</v>
      </c>
      <c r="I187" s="13">
        <f>SUMIF(SIGAF!$B$2:$B$491,$A187,SIGAF!$J$2:$J$491)</f>
        <v>0</v>
      </c>
      <c r="J187" s="66">
        <f t="shared" si="36"/>
        <v>0</v>
      </c>
      <c r="K187" s="13">
        <f>SUMIF(SIGAF!$B$2:$B$491,$A187,SIGAF!$K$2:$K$491)</f>
        <v>405253936.58999997</v>
      </c>
      <c r="L187" s="142">
        <f t="shared" si="40"/>
        <v>0.99470055346785691</v>
      </c>
      <c r="M187" s="13">
        <f>SUMIF(SIGAF!$B$2:$B$491,$A187,SIGAF!$L$2:$L$491)</f>
        <v>405253936.58999997</v>
      </c>
      <c r="N187" s="66">
        <f t="shared" si="37"/>
        <v>0.99470055346785691</v>
      </c>
      <c r="O187" s="85">
        <f>SUMIF(SIGAF!$B$2:$B$491,$A187,SIGAF!$M$2:$M$491)</f>
        <v>2159063.41</v>
      </c>
      <c r="P187" s="66">
        <f t="shared" si="38"/>
        <v>5.299446532143059E-3</v>
      </c>
      <c r="Q187" s="13">
        <f>SUMIF(SIGAF!$B$2:$B$491,$A187,SIGAF!$N$2:$N$491)</f>
        <v>2159063.41</v>
      </c>
      <c r="R187" s="66">
        <f t="shared" si="39"/>
        <v>5.299446532143059E-3</v>
      </c>
    </row>
    <row r="188" spans="1:18" x14ac:dyDescent="0.25">
      <c r="A188" s="11" t="s">
        <v>414</v>
      </c>
      <c r="B188" s="11" t="s">
        <v>537</v>
      </c>
      <c r="C188" s="13">
        <f>SUM(C189:C191)</f>
        <v>407413000</v>
      </c>
      <c r="D188" s="13">
        <f t="shared" ref="D188:G188" si="50">SUM(D189:D191)</f>
        <v>407413000</v>
      </c>
      <c r="E188" s="13">
        <f t="shared" si="50"/>
        <v>0</v>
      </c>
      <c r="F188" s="66">
        <f t="shared" si="35"/>
        <v>0</v>
      </c>
      <c r="G188" s="13">
        <f t="shared" si="50"/>
        <v>0</v>
      </c>
      <c r="H188" s="66">
        <f t="shared" si="36"/>
        <v>0</v>
      </c>
      <c r="I188" s="13">
        <f t="shared" ref="I188" si="51">SUM(I189:I191)</f>
        <v>0</v>
      </c>
      <c r="J188" s="66">
        <f t="shared" si="36"/>
        <v>0</v>
      </c>
      <c r="K188" s="13">
        <f t="shared" ref="K188:Q188" si="52">SUM(K189:K191)</f>
        <v>405253936.59000003</v>
      </c>
      <c r="L188" s="142">
        <f t="shared" si="40"/>
        <v>0.99470055346785702</v>
      </c>
      <c r="M188" s="13">
        <f t="shared" si="52"/>
        <v>405253936.59000003</v>
      </c>
      <c r="N188" s="66">
        <f t="shared" si="37"/>
        <v>0.99470055346785702</v>
      </c>
      <c r="O188" s="13">
        <f t="shared" si="52"/>
        <v>2159063.41</v>
      </c>
      <c r="P188" s="66">
        <f t="shared" si="38"/>
        <v>5.299446532143059E-3</v>
      </c>
      <c r="Q188" s="13">
        <f t="shared" si="52"/>
        <v>2159063.41</v>
      </c>
      <c r="R188" s="66">
        <f t="shared" si="39"/>
        <v>5.299446532143059E-3</v>
      </c>
    </row>
    <row r="189" spans="1:18" x14ac:dyDescent="0.25">
      <c r="A189" s="11" t="s">
        <v>281</v>
      </c>
      <c r="B189" s="11" t="s">
        <v>538</v>
      </c>
      <c r="C189" s="13">
        <f>SUMIF(SIGAF!$B$2:$B$491,$A189,SIGAF!$F$2:$F$491)</f>
        <v>389032000</v>
      </c>
      <c r="D189" s="13">
        <f>SUMIF(SIGAF!$B$2:$B$491,$A189,SIGAF!$G$2:$G$491)</f>
        <v>389032000</v>
      </c>
      <c r="E189" s="13">
        <f>SUMIF(SIGAF!$B$2:$B$491,$A189,SIGAF!$H$2:$H$491)</f>
        <v>0</v>
      </c>
      <c r="F189" s="66">
        <f t="shared" si="35"/>
        <v>0</v>
      </c>
      <c r="G189" s="13">
        <f>SUMIF(SIGAF!$B$2:$B$491,$A189,SIGAF!$I$2:$I$491)</f>
        <v>0</v>
      </c>
      <c r="H189" s="66">
        <f t="shared" si="36"/>
        <v>0</v>
      </c>
      <c r="I189" s="13">
        <f>SUMIF(SIGAF!$B$2:$B$491,$A189,SIGAF!$J$2:$J$491)</f>
        <v>0</v>
      </c>
      <c r="J189" s="66">
        <f t="shared" si="36"/>
        <v>0</v>
      </c>
      <c r="K189" s="13">
        <f>SUMIF(SIGAF!$B$2:$B$491,$A189,SIGAF!$K$2:$K$491)</f>
        <v>389032000</v>
      </c>
      <c r="L189" s="142">
        <f t="shared" si="40"/>
        <v>1</v>
      </c>
      <c r="M189" s="13">
        <f>SUMIF(SIGAF!$B$2:$B$491,$A189,SIGAF!$L$2:$L$491)</f>
        <v>389032000</v>
      </c>
      <c r="N189" s="66">
        <f t="shared" si="37"/>
        <v>1</v>
      </c>
      <c r="O189" s="85">
        <f>SUMIF(SIGAF!$B$2:$B$491,$A189,SIGAF!$M$2:$M$491)</f>
        <v>0</v>
      </c>
      <c r="P189" s="66">
        <f t="shared" si="38"/>
        <v>0</v>
      </c>
      <c r="Q189" s="13">
        <f>SUMIF(SIGAF!$B$2:$B$491,$A189,SIGAF!$N$2:$N$491)</f>
        <v>0</v>
      </c>
      <c r="R189" s="66">
        <f t="shared" si="39"/>
        <v>0</v>
      </c>
    </row>
    <row r="190" spans="1:18" x14ac:dyDescent="0.25">
      <c r="A190" s="11" t="s">
        <v>573</v>
      </c>
      <c r="B190" s="11" t="s">
        <v>576</v>
      </c>
      <c r="C190" s="13">
        <f>SUMIF(SIGAF!$B$2:$B$491,$A190,SIGAF!$F$2:$F$491)</f>
        <v>15000918</v>
      </c>
      <c r="D190" s="13">
        <f>SUMIF(SIGAF!$B$2:$B$491,$A190,SIGAF!$G$2:$G$491)</f>
        <v>15000918</v>
      </c>
      <c r="E190" s="13">
        <f>SUMIF(SIGAF!$B$2:$B$491,$A190,SIGAF!$H$2:$H$491)</f>
        <v>0</v>
      </c>
      <c r="F190" s="66">
        <f t="shared" ref="F190" si="53">+IFERROR(+E190/$C190,0)</f>
        <v>0</v>
      </c>
      <c r="G190" s="13">
        <f>SUMIF(SIGAF!$B$2:$B$491,$A190,SIGAF!$I$2:$I$491)</f>
        <v>0</v>
      </c>
      <c r="H190" s="66">
        <f t="shared" ref="H190" si="54">+IFERROR(+G190/$C190,0)</f>
        <v>0</v>
      </c>
      <c r="I190" s="13">
        <f>SUMIF(SIGAF!$B$2:$B$491,$A190,SIGAF!$J$2:$J$491)</f>
        <v>0</v>
      </c>
      <c r="J190" s="66">
        <f t="shared" ref="J190" si="55">+IFERROR(+I190/$C190,0)</f>
        <v>0</v>
      </c>
      <c r="K190" s="13">
        <f>SUMIF(SIGAF!$B$2:$B$491,$A190,SIGAF!$K$2:$K$491)</f>
        <v>12841855.289999999</v>
      </c>
      <c r="L190" s="142">
        <f t="shared" ref="L190" si="56">+IFERROR(+K190/$C190,0)</f>
        <v>0.85607129443678043</v>
      </c>
      <c r="M190" s="13">
        <f>SUMIF(SIGAF!$B$2:$B$491,$A190,SIGAF!$L$2:$L$491)</f>
        <v>12841855.289999999</v>
      </c>
      <c r="N190" s="66">
        <f t="shared" ref="N190" si="57">+IFERROR(+M190/$C190,0)</f>
        <v>0.85607129443678043</v>
      </c>
      <c r="O190" s="85">
        <f>SUMIF(SIGAF!$B$2:$B$491,$A190,SIGAF!$M$2:$M$491)</f>
        <v>2159062.71</v>
      </c>
      <c r="P190" s="66">
        <f t="shared" ref="P190" si="58">+IFERROR(+O190/$C190,0)</f>
        <v>0.14392870556321952</v>
      </c>
      <c r="Q190" s="13">
        <f>SUMIF(SIGAF!$B$2:$B$491,$A190,SIGAF!$N$2:$N$491)</f>
        <v>2159062.71</v>
      </c>
      <c r="R190" s="66">
        <f t="shared" ref="R190" si="59">+IFERROR(+Q190/$C190,0)</f>
        <v>0.14392870556321952</v>
      </c>
    </row>
    <row r="191" spans="1:18" x14ac:dyDescent="0.25">
      <c r="A191" s="11" t="s">
        <v>283</v>
      </c>
      <c r="B191" s="11" t="s">
        <v>539</v>
      </c>
      <c r="C191" s="13">
        <f>SUMIF(SIGAF!$B$2:$B$491,$A191,SIGAF!$F$2:$F$491)</f>
        <v>3380082</v>
      </c>
      <c r="D191" s="13">
        <f>SUMIF(SIGAF!$B$2:$B$491,$A191,SIGAF!$G$2:$G$491)</f>
        <v>3380082</v>
      </c>
      <c r="E191" s="13">
        <f>SUMIF(SIGAF!$B$2:$B$491,$A191,SIGAF!$H$2:$H$491)</f>
        <v>0</v>
      </c>
      <c r="F191" s="66">
        <f t="shared" si="35"/>
        <v>0</v>
      </c>
      <c r="G191" s="13">
        <f>SUMIF(SIGAF!$B$2:$B$491,$A191,SIGAF!$I$2:$I$491)</f>
        <v>0</v>
      </c>
      <c r="H191" s="66">
        <f t="shared" si="36"/>
        <v>0</v>
      </c>
      <c r="I191" s="13">
        <f>SUMIF(SIGAF!$B$2:$B$491,$A191,SIGAF!$J$2:$J$491)</f>
        <v>0</v>
      </c>
      <c r="J191" s="66">
        <f t="shared" si="36"/>
        <v>0</v>
      </c>
      <c r="K191" s="13">
        <f>SUMIF(SIGAF!$B$2:$B$491,$A191,SIGAF!$K$2:$K$491)</f>
        <v>3380081.3</v>
      </c>
      <c r="L191" s="142">
        <f t="shared" si="40"/>
        <v>0.99999979290443242</v>
      </c>
      <c r="M191" s="13">
        <f>SUMIF(SIGAF!$B$2:$B$491,$A191,SIGAF!$L$2:$L$491)</f>
        <v>3380081.3</v>
      </c>
      <c r="N191" s="66">
        <f t="shared" si="37"/>
        <v>0.99999979290443242</v>
      </c>
      <c r="O191" s="85">
        <f>SUMIF(SIGAF!$B$2:$B$491,$A191,SIGAF!$M$2:$M$491)</f>
        <v>0.7</v>
      </c>
      <c r="P191" s="66">
        <f t="shared" si="38"/>
        <v>2.0709556750398361E-7</v>
      </c>
      <c r="Q191" s="13">
        <f>SUMIF(SIGAF!$B$2:$B$491,$A191,SIGAF!$N$2:$N$491)</f>
        <v>0.7</v>
      </c>
      <c r="R191" s="66">
        <f t="shared" si="39"/>
        <v>2.0709556750398361E-7</v>
      </c>
    </row>
    <row r="192" spans="1:18" s="23" customFormat="1" x14ac:dyDescent="0.25">
      <c r="A192" s="21" t="s">
        <v>388</v>
      </c>
      <c r="B192" s="21" t="s">
        <v>540</v>
      </c>
      <c r="C192" s="35">
        <f>+C193</f>
        <v>4742400000</v>
      </c>
      <c r="D192" s="35">
        <f t="shared" ref="D192:I192" si="60">+D193</f>
        <v>4742400000</v>
      </c>
      <c r="E192" s="35">
        <f t="shared" si="60"/>
        <v>0</v>
      </c>
      <c r="F192" s="65">
        <f t="shared" si="35"/>
        <v>0</v>
      </c>
      <c r="G192" s="35">
        <f t="shared" si="60"/>
        <v>0</v>
      </c>
      <c r="H192" s="65">
        <f t="shared" si="36"/>
        <v>0</v>
      </c>
      <c r="I192" s="35">
        <f t="shared" si="60"/>
        <v>0</v>
      </c>
      <c r="J192" s="65">
        <f t="shared" si="36"/>
        <v>0</v>
      </c>
      <c r="K192" s="35">
        <f t="shared" ref="K192:Q192" si="61">+K193</f>
        <v>4742400000</v>
      </c>
      <c r="L192" s="141">
        <f t="shared" si="40"/>
        <v>1</v>
      </c>
      <c r="M192" s="35">
        <f t="shared" si="61"/>
        <v>4742400000</v>
      </c>
      <c r="N192" s="65">
        <f t="shared" si="37"/>
        <v>1</v>
      </c>
      <c r="O192" s="35">
        <f t="shared" si="61"/>
        <v>0</v>
      </c>
      <c r="P192" s="65">
        <f t="shared" si="38"/>
        <v>0</v>
      </c>
      <c r="Q192" s="35">
        <f t="shared" si="61"/>
        <v>0</v>
      </c>
      <c r="R192" s="65">
        <f t="shared" si="39"/>
        <v>0</v>
      </c>
    </row>
    <row r="193" spans="1:18" x14ac:dyDescent="0.25">
      <c r="A193" s="11" t="s">
        <v>390</v>
      </c>
      <c r="B193" s="11" t="s">
        <v>541</v>
      </c>
      <c r="C193" s="13">
        <f>SUMIF(SIGAF!$B$2:$B$491,$A193,SIGAF!$F$2:$F$491)</f>
        <v>4742400000</v>
      </c>
      <c r="D193" s="13">
        <f>SUMIF(SIGAF!$B$2:$B$491,$A193,SIGAF!$G$2:$G$491)</f>
        <v>4742400000</v>
      </c>
      <c r="E193" s="13">
        <f>SUMIF(SIGAF!$B$2:$B$491,$A193,SIGAF!$H$2:$H$491)</f>
        <v>0</v>
      </c>
      <c r="F193" s="66">
        <f t="shared" si="35"/>
        <v>0</v>
      </c>
      <c r="G193" s="13">
        <f>SUMIF(SIGAF!$B$2:$B$491,$A193,SIGAF!$I$2:$I$491)</f>
        <v>0</v>
      </c>
      <c r="H193" s="66">
        <f t="shared" si="36"/>
        <v>0</v>
      </c>
      <c r="I193" s="13">
        <f>SUMIF(SIGAF!$B$2:$B$491,$A193,SIGAF!$J$2:$J$491)</f>
        <v>0</v>
      </c>
      <c r="J193" s="66">
        <f t="shared" si="36"/>
        <v>0</v>
      </c>
      <c r="K193" s="13">
        <f>SUMIF(SIGAF!$B$2:$B$491,$A193,SIGAF!$K$2:$K$491)</f>
        <v>4742400000</v>
      </c>
      <c r="L193" s="142">
        <f t="shared" si="40"/>
        <v>1</v>
      </c>
      <c r="M193" s="13">
        <f>SUMIF(SIGAF!$B$2:$B$491,$A193,SIGAF!$L$2:$L$491)</f>
        <v>4742400000</v>
      </c>
      <c r="N193" s="66">
        <f t="shared" si="37"/>
        <v>1</v>
      </c>
      <c r="O193" s="85">
        <f>SUMIF(SIGAF!$B$2:$B$491,$A193,SIGAF!$M$2:$M$491)</f>
        <v>0</v>
      </c>
      <c r="P193" s="66">
        <f t="shared" si="38"/>
        <v>0</v>
      </c>
      <c r="Q193" s="13">
        <f>SUMIF(SIGAF!$B$2:$B$491,$A193,SIGAF!$N$2:$N$491)</f>
        <v>0</v>
      </c>
      <c r="R193" s="66">
        <f t="shared" si="39"/>
        <v>0</v>
      </c>
    </row>
    <row r="194" spans="1:18" x14ac:dyDescent="0.25">
      <c r="A194" s="11" t="s">
        <v>415</v>
      </c>
      <c r="B194" s="11" t="s">
        <v>542</v>
      </c>
      <c r="C194" s="13">
        <f>SUM(C195:C196)</f>
        <v>4742400000</v>
      </c>
      <c r="D194" s="13">
        <f>SUM(D195:D196)</f>
        <v>4742400000</v>
      </c>
      <c r="E194" s="13">
        <f>SUM(E195:E196)</f>
        <v>0</v>
      </c>
      <c r="F194" s="66">
        <f t="shared" si="35"/>
        <v>0</v>
      </c>
      <c r="G194" s="13">
        <f>SUM(G195:G196)</f>
        <v>0</v>
      </c>
      <c r="H194" s="66">
        <f t="shared" si="36"/>
        <v>0</v>
      </c>
      <c r="I194" s="13">
        <f>SUM(I195:I196)</f>
        <v>0</v>
      </c>
      <c r="J194" s="66">
        <f t="shared" si="36"/>
        <v>0</v>
      </c>
      <c r="K194" s="13">
        <f>SUM(K195:K196)</f>
        <v>4742400000</v>
      </c>
      <c r="L194" s="142">
        <f t="shared" si="40"/>
        <v>1</v>
      </c>
      <c r="M194" s="13">
        <f>SUM(M195:M196)</f>
        <v>4742400000</v>
      </c>
      <c r="N194" s="66">
        <f t="shared" si="37"/>
        <v>1</v>
      </c>
      <c r="O194" s="13">
        <f>SUM(O195:O196)</f>
        <v>0</v>
      </c>
      <c r="P194" s="66">
        <f t="shared" si="38"/>
        <v>0</v>
      </c>
      <c r="Q194" s="13">
        <f>SUM(Q195:Q196)</f>
        <v>0</v>
      </c>
      <c r="R194" s="66">
        <f t="shared" si="39"/>
        <v>0</v>
      </c>
    </row>
    <row r="195" spans="1:18" x14ac:dyDescent="0.25">
      <c r="A195" s="11" t="s">
        <v>392</v>
      </c>
      <c r="B195" s="11" t="s">
        <v>543</v>
      </c>
      <c r="C195" s="13">
        <f>SUMIF(SIGAF!$B$2:$B$491,$A195,SIGAF!$F$2:$F$491)</f>
        <v>4742400000</v>
      </c>
      <c r="D195" s="13">
        <f>SUMIF(SIGAF!$B$2:$B$491,$A195,SIGAF!$G$2:$G$491)</f>
        <v>4742400000</v>
      </c>
      <c r="E195" s="13">
        <f>SUMIF(SIGAF!$B$2:$B$491,$A195,SIGAF!$H$2:$H$491)</f>
        <v>0</v>
      </c>
      <c r="F195" s="66">
        <f t="shared" si="35"/>
        <v>0</v>
      </c>
      <c r="G195" s="13">
        <f>SUMIF(SIGAF!$B$2:$B$491,$A195,SIGAF!$I$2:$I$491)</f>
        <v>0</v>
      </c>
      <c r="H195" s="66">
        <f t="shared" si="36"/>
        <v>0</v>
      </c>
      <c r="I195" s="13">
        <f>SUMIF(SIGAF!$B$2:$B$491,$A195,SIGAF!$J$2:$J$491)</f>
        <v>0</v>
      </c>
      <c r="J195" s="66">
        <f t="shared" si="36"/>
        <v>0</v>
      </c>
      <c r="K195" s="13">
        <f>SUMIF(SIGAF!$B$2:$B$491,$A195,SIGAF!$K$2:$K$491)</f>
        <v>4742400000</v>
      </c>
      <c r="L195" s="142">
        <f t="shared" si="40"/>
        <v>1</v>
      </c>
      <c r="M195" s="13">
        <f>SUMIF(SIGAF!$B$2:$B$491,$A195,SIGAF!$L$2:$L$491)</f>
        <v>4742400000</v>
      </c>
      <c r="N195" s="66">
        <f t="shared" si="37"/>
        <v>1</v>
      </c>
      <c r="O195" s="85">
        <f>SUMIF(SIGAF!$B$2:$B$491,$A195,SIGAF!$M$2:$M$491)</f>
        <v>0</v>
      </c>
      <c r="P195" s="66">
        <f t="shared" si="38"/>
        <v>0</v>
      </c>
      <c r="Q195" s="13">
        <f>SUMIF(SIGAF!$B$2:$B$491,$A195,SIGAF!$N$2:$N$491)</f>
        <v>0</v>
      </c>
      <c r="R195" s="66">
        <f t="shared" si="39"/>
        <v>0</v>
      </c>
    </row>
    <row r="196" spans="1:18" x14ac:dyDescent="0.25">
      <c r="A196" s="11" t="s">
        <v>416</v>
      </c>
      <c r="B196" s="11" t="s">
        <v>526</v>
      </c>
      <c r="C196" s="13">
        <f>SUMIF(SIGAF!$B$2:$B$491,$A196,SIGAF!$F$2:$F$491)</f>
        <v>0</v>
      </c>
      <c r="D196" s="13">
        <f>SUMIF(SIGAF!$B$2:$B$491,$A196,SIGAF!$G$2:$G$491)</f>
        <v>0</v>
      </c>
      <c r="E196" s="13">
        <f>SUMIF(SIGAF!$B$2:$B$491,$A196,SIGAF!$H$2:$H$491)</f>
        <v>0</v>
      </c>
      <c r="F196" s="66">
        <f t="shared" si="35"/>
        <v>0</v>
      </c>
      <c r="G196" s="13">
        <f>SUMIF(SIGAF!$B$2:$B$491,$A196,SIGAF!$I$2:$I$491)</f>
        <v>0</v>
      </c>
      <c r="H196" s="66">
        <f t="shared" si="36"/>
        <v>0</v>
      </c>
      <c r="I196" s="13">
        <f>SUMIF(SIGAF!$B$2:$B$491,$A196,SIGAF!$J$2:$J$491)</f>
        <v>0</v>
      </c>
      <c r="J196" s="66">
        <f t="shared" si="36"/>
        <v>0</v>
      </c>
      <c r="K196" s="13">
        <f>SUMIF(SIGAF!$B$2:$B$491,$A196,SIGAF!$K$2:$K$491)</f>
        <v>0</v>
      </c>
      <c r="L196" s="142">
        <f t="shared" si="40"/>
        <v>0</v>
      </c>
      <c r="M196" s="13">
        <f>SUMIF(SIGAF!$B$2:$B$491,$A196,SIGAF!$L$2:$L$491)</f>
        <v>0</v>
      </c>
      <c r="N196" s="66">
        <f t="shared" si="37"/>
        <v>0</v>
      </c>
      <c r="O196" s="85">
        <f>SUMIF(SIGAF!$B$2:$B$491,$A196,SIGAF!$M$2:$M$491)</f>
        <v>0</v>
      </c>
      <c r="P196" s="66">
        <f t="shared" si="38"/>
        <v>0</v>
      </c>
      <c r="Q196" s="13">
        <f>SUMIF(SIGAF!$B$2:$B$491,$A196,SIGAF!$N$2:$N$491)</f>
        <v>0</v>
      </c>
      <c r="R196" s="66">
        <f t="shared" si="39"/>
        <v>0</v>
      </c>
    </row>
    <row r="197" spans="1:18" s="23" customFormat="1" x14ac:dyDescent="0.25">
      <c r="A197" s="21" t="s">
        <v>589</v>
      </c>
      <c r="B197" s="21" t="s">
        <v>590</v>
      </c>
      <c r="C197" s="35">
        <f t="shared" ref="C197:E198" si="62">+C198</f>
        <v>173212000</v>
      </c>
      <c r="D197" s="35">
        <f t="shared" si="62"/>
        <v>173212000</v>
      </c>
      <c r="E197" s="35">
        <f t="shared" si="62"/>
        <v>0</v>
      </c>
      <c r="F197" s="66">
        <f t="shared" si="35"/>
        <v>0</v>
      </c>
      <c r="G197" s="35">
        <f>+G198</f>
        <v>0</v>
      </c>
      <c r="H197" s="66">
        <f t="shared" si="36"/>
        <v>0</v>
      </c>
      <c r="I197" s="35">
        <f>+I198</f>
        <v>0</v>
      </c>
      <c r="J197" s="66">
        <f t="shared" si="36"/>
        <v>0</v>
      </c>
      <c r="K197" s="35">
        <f>+K198</f>
        <v>0</v>
      </c>
      <c r="L197" s="142">
        <f t="shared" si="40"/>
        <v>0</v>
      </c>
      <c r="M197" s="35">
        <f>+M198</f>
        <v>0</v>
      </c>
      <c r="N197" s="66">
        <f t="shared" si="37"/>
        <v>0</v>
      </c>
      <c r="O197" s="35">
        <f>+O198</f>
        <v>173212000</v>
      </c>
      <c r="P197" s="66">
        <f t="shared" si="38"/>
        <v>1</v>
      </c>
      <c r="Q197" s="35">
        <f>+Q198</f>
        <v>173212000</v>
      </c>
      <c r="R197" s="66">
        <f t="shared" si="38"/>
        <v>1</v>
      </c>
    </row>
    <row r="198" spans="1:18" ht="26.25" x14ac:dyDescent="0.25">
      <c r="A198" s="11" t="s">
        <v>587</v>
      </c>
      <c r="B198" s="157" t="s">
        <v>588</v>
      </c>
      <c r="C198" s="13">
        <f t="shared" si="62"/>
        <v>173212000</v>
      </c>
      <c r="D198" s="13">
        <f t="shared" si="62"/>
        <v>173212000</v>
      </c>
      <c r="E198" s="13">
        <f t="shared" si="62"/>
        <v>0</v>
      </c>
      <c r="F198" s="66">
        <f t="shared" si="35"/>
        <v>0</v>
      </c>
      <c r="G198" s="13">
        <f>+G199</f>
        <v>0</v>
      </c>
      <c r="H198" s="66">
        <f t="shared" si="36"/>
        <v>0</v>
      </c>
      <c r="I198" s="13">
        <f>+I199</f>
        <v>0</v>
      </c>
      <c r="J198" s="66">
        <f t="shared" si="36"/>
        <v>0</v>
      </c>
      <c r="K198" s="13">
        <f>+K199</f>
        <v>0</v>
      </c>
      <c r="L198" s="142">
        <f t="shared" si="40"/>
        <v>0</v>
      </c>
      <c r="M198" s="13">
        <f>+M199</f>
        <v>0</v>
      </c>
      <c r="N198" s="66">
        <f t="shared" si="37"/>
        <v>0</v>
      </c>
      <c r="O198" s="13">
        <f>+O199</f>
        <v>173212000</v>
      </c>
      <c r="P198" s="66">
        <f t="shared" si="38"/>
        <v>1</v>
      </c>
      <c r="Q198" s="13">
        <f>+Q199</f>
        <v>173212000</v>
      </c>
      <c r="R198" s="66">
        <f t="shared" si="38"/>
        <v>1</v>
      </c>
    </row>
    <row r="199" spans="1:18" ht="26.25" x14ac:dyDescent="0.25">
      <c r="A199" s="11" t="s">
        <v>585</v>
      </c>
      <c r="B199" s="157" t="s">
        <v>586</v>
      </c>
      <c r="C199" s="13">
        <f>SUMIF(SIGAF!$B$2:$B$491,$A199,SIGAF!$F$2:$F$491)</f>
        <v>173212000</v>
      </c>
      <c r="D199" s="13">
        <f>SUMIF(SIGAF!$B$2:$B$491,$A199,SIGAF!$G$2:$G$491)</f>
        <v>173212000</v>
      </c>
      <c r="E199" s="13">
        <f>SUMIF(SIGAF!$B$2:$B$491,$A199,SIGAF!$H$2:$H$491)</f>
        <v>0</v>
      </c>
      <c r="F199" s="66">
        <f t="shared" ref="F199" si="63">+IFERROR(+E199/$C199,0)</f>
        <v>0</v>
      </c>
      <c r="G199" s="13">
        <f>SUMIF(SIGAF!$B$2:$B$491,$A199,SIGAF!$I$2:$I$491)</f>
        <v>0</v>
      </c>
      <c r="H199" s="66">
        <f t="shared" ref="H199" si="64">+IFERROR(+G199/$C199,0)</f>
        <v>0</v>
      </c>
      <c r="I199" s="13">
        <f>SUMIF(SIGAF!$B$2:$B$491,$A199,SIGAF!$J$2:$J$491)</f>
        <v>0</v>
      </c>
      <c r="J199" s="66">
        <f t="shared" ref="J199" si="65">+IFERROR(+I199/$C199,0)</f>
        <v>0</v>
      </c>
      <c r="K199" s="13">
        <f>SUMIF(SIGAF!$B$2:$B$491,$A199,SIGAF!$K$2:$K$491)</f>
        <v>0</v>
      </c>
      <c r="L199" s="142">
        <f t="shared" ref="L199" si="66">+IFERROR(+K199/$C199,0)</f>
        <v>0</v>
      </c>
      <c r="M199" s="13">
        <f>SUMIF(SIGAF!$B$2:$B$491,$A199,SIGAF!$L$2:$L$491)</f>
        <v>0</v>
      </c>
      <c r="N199" s="66">
        <f t="shared" ref="N199" si="67">+IFERROR(+M199/$C199,0)</f>
        <v>0</v>
      </c>
      <c r="O199" s="85">
        <f>SUMIF(SIGAF!$B$2:$B$491,$A199,SIGAF!$M$2:$M$491)</f>
        <v>173212000</v>
      </c>
      <c r="P199" s="66">
        <f t="shared" ref="P199" si="68">+IFERROR(+O199/$C199,0)</f>
        <v>1</v>
      </c>
      <c r="Q199" s="13">
        <f>SUMIF(SIGAF!$B$2:$B$491,$A199,SIGAF!$N$2:$N$491)</f>
        <v>173212000</v>
      </c>
      <c r="R199" s="66">
        <f t="shared" ref="R199" si="69">+IFERROR(+Q199/$C199,0)</f>
        <v>1</v>
      </c>
    </row>
    <row r="200" spans="1:18" x14ac:dyDescent="0.25">
      <c r="A200" s="54">
        <v>214</v>
      </c>
      <c r="B200" s="54" t="s">
        <v>544</v>
      </c>
      <c r="C200" s="55">
        <f>+C11+C62+C116+C146+C161+C192+C197</f>
        <v>134302218983</v>
      </c>
      <c r="D200" s="55">
        <f t="shared" ref="D200:Q200" si="70">+D11+D62+D116+D146+D161+D192+D197</f>
        <v>134296244482</v>
      </c>
      <c r="E200" s="55">
        <f t="shared" si="70"/>
        <v>0</v>
      </c>
      <c r="F200" s="56">
        <f t="shared" si="35"/>
        <v>0</v>
      </c>
      <c r="G200" s="55">
        <f t="shared" si="70"/>
        <v>3940029257.7200003</v>
      </c>
      <c r="H200" s="56">
        <f t="shared" si="36"/>
        <v>2.9337037671869962E-2</v>
      </c>
      <c r="I200" s="55">
        <f t="shared" si="70"/>
        <v>0</v>
      </c>
      <c r="J200" s="56">
        <f t="shared" si="36"/>
        <v>0</v>
      </c>
      <c r="K200" s="55">
        <f>+K11+K62+K116+K146+K161+K192+K197</f>
        <v>123842516565.67</v>
      </c>
      <c r="L200" s="139">
        <f>+IFERROR(+K200/$C200,0)</f>
        <v>0.92211817126674589</v>
      </c>
      <c r="M200" s="55">
        <f t="shared" si="70"/>
        <v>118856946867.02</v>
      </c>
      <c r="N200" s="56">
        <f t="shared" si="37"/>
        <v>0.88499615097249396</v>
      </c>
      <c r="O200" s="55">
        <f t="shared" si="70"/>
        <v>6519673159.6099997</v>
      </c>
      <c r="P200" s="56">
        <f t="shared" si="38"/>
        <v>4.8544791061384186E-2</v>
      </c>
      <c r="Q200" s="55">
        <f t="shared" si="70"/>
        <v>6513698658.6099997</v>
      </c>
      <c r="R200" s="56">
        <f t="shared" si="39"/>
        <v>4.8500305564083829E-2</v>
      </c>
    </row>
    <row r="201" spans="1:18" x14ac:dyDescent="0.25">
      <c r="C201" s="34">
        <f>+C200-SIGAF!F2</f>
        <v>0</v>
      </c>
      <c r="D201" s="34">
        <f>+D200-SIGAF!G2</f>
        <v>0</v>
      </c>
      <c r="E201" s="34">
        <f>+E200-SIGAF!H2</f>
        <v>0</v>
      </c>
      <c r="F201" s="34"/>
      <c r="G201" s="34">
        <f>+G200-SIGAF!I2</f>
        <v>0</v>
      </c>
      <c r="I201" s="34">
        <f>+I200-SIGAF!J2</f>
        <v>0</v>
      </c>
      <c r="K201" s="34">
        <f>+K200-SIGAF!K2</f>
        <v>0</v>
      </c>
      <c r="M201" s="34">
        <f>+M200-SIGAF!L2</f>
        <v>0</v>
      </c>
      <c r="O201" s="34">
        <f>+O200-SIGAF!M2</f>
        <v>0</v>
      </c>
      <c r="Q201" s="34">
        <f>+Q200-SIGAF!N2</f>
        <v>0</v>
      </c>
    </row>
    <row r="203" spans="1:18" x14ac:dyDescent="0.25">
      <c r="K203" s="64" t="s">
        <v>594</v>
      </c>
      <c r="L203" s="62"/>
      <c r="O203" s="88" t="s">
        <v>595</v>
      </c>
      <c r="P203" s="63"/>
    </row>
    <row r="213" spans="11:11" x14ac:dyDescent="0.25">
      <c r="K213" s="33"/>
    </row>
    <row r="214" spans="11:11" x14ac:dyDescent="0.25">
      <c r="K214" s="160"/>
    </row>
  </sheetData>
  <mergeCells count="6">
    <mergeCell ref="A1:R1"/>
    <mergeCell ref="A2:R2"/>
    <mergeCell ref="A3:R3"/>
    <mergeCell ref="A5:R5"/>
    <mergeCell ref="A6:R6"/>
    <mergeCell ref="A4:R4"/>
  </mergeCells>
  <conditionalFormatting sqref="L10:L199">
    <cfRule type="cellIs" dxfId="5" priority="15" operator="lessThan">
      <formula>0.75</formula>
    </cfRule>
  </conditionalFormatting>
  <conditionalFormatting sqref="P10:P199">
    <cfRule type="cellIs" dxfId="4" priority="14" operator="greaterThan">
      <formula>0.25</formula>
    </cfRule>
  </conditionalFormatting>
  <conditionalFormatting sqref="R197">
    <cfRule type="cellIs" dxfId="3" priority="7" operator="greaterThan">
      <formula>0.5</formula>
    </cfRule>
  </conditionalFormatting>
  <conditionalFormatting sqref="R198">
    <cfRule type="cellIs" dxfId="2" priority="2" operator="greaterThan">
      <formula>0.5</formula>
    </cfRule>
  </conditionalFormatting>
  <conditionalFormatting sqref="R199">
    <cfRule type="cellIs" dxfId="1" priority="1" operator="greaterThan">
      <formula>0.5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scale="61" fitToHeight="0" orientation="landscape" verticalDpi="597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B1" workbookViewId="0">
      <selection activeCell="F8" sqref="F8"/>
    </sheetView>
  </sheetViews>
  <sheetFormatPr baseColWidth="10" defaultRowHeight="15" x14ac:dyDescent="0.25"/>
  <cols>
    <col min="1" max="1" width="15.85546875" hidden="1" customWidth="1"/>
    <col min="2" max="3" width="19.5703125" bestFit="1" customWidth="1"/>
    <col min="4" max="4" width="18.85546875" bestFit="1" customWidth="1"/>
    <col min="5" max="5" width="14.7109375" customWidth="1"/>
  </cols>
  <sheetData>
    <row r="1" spans="1:7" ht="18.75" customHeight="1" x14ac:dyDescent="0.25">
      <c r="B1" s="223" t="s">
        <v>614</v>
      </c>
      <c r="C1" s="224"/>
      <c r="D1" s="224"/>
      <c r="E1" s="225"/>
      <c r="F1" s="93"/>
      <c r="G1" s="93"/>
    </row>
    <row r="2" spans="1:7" ht="18.75" x14ac:dyDescent="0.3">
      <c r="B2" s="97" t="s">
        <v>85</v>
      </c>
      <c r="C2" s="97" t="s">
        <v>33</v>
      </c>
      <c r="D2" s="97" t="s">
        <v>86</v>
      </c>
      <c r="E2" s="98" t="s">
        <v>87</v>
      </c>
    </row>
    <row r="3" spans="1:7" x14ac:dyDescent="0.25">
      <c r="B3" s="94">
        <f>+$B$7+$B$11+$B$15+$B$19+$B$23</f>
        <v>134302218983</v>
      </c>
      <c r="C3" s="94">
        <f>+$C$7+$C$11+$C$15+$C$19+$C$23</f>
        <v>123842516565.67001</v>
      </c>
      <c r="D3" s="94">
        <f>+$D$7+$D$11+$D$15+$D$19+$D$23</f>
        <v>6519673159.6099997</v>
      </c>
      <c r="E3" s="144">
        <f>+C3/B3</f>
        <v>0.922118171266746</v>
      </c>
    </row>
    <row r="4" spans="1:7" x14ac:dyDescent="0.25">
      <c r="B4" s="95"/>
      <c r="C4" s="95"/>
      <c r="D4" s="95"/>
      <c r="E4" s="95"/>
    </row>
    <row r="5" spans="1:7" ht="18.75" x14ac:dyDescent="0.25">
      <c r="B5" s="220" t="str">
        <f>+'ANALISIS POR PROG'!$B$6</f>
        <v>PROG 779</v>
      </c>
      <c r="C5" s="221"/>
      <c r="D5" s="221"/>
      <c r="E5" s="222"/>
      <c r="F5" s="93"/>
      <c r="G5" s="93"/>
    </row>
    <row r="6" spans="1:7" ht="18.75" x14ac:dyDescent="0.3">
      <c r="B6" s="97" t="s">
        <v>85</v>
      </c>
      <c r="C6" s="97" t="s">
        <v>33</v>
      </c>
      <c r="D6" s="97" t="s">
        <v>86</v>
      </c>
      <c r="E6" s="98" t="s">
        <v>87</v>
      </c>
    </row>
    <row r="7" spans="1:7" x14ac:dyDescent="0.25">
      <c r="A7">
        <v>214779</v>
      </c>
      <c r="B7" s="94">
        <f>SUMIF(SIGAF!$A$2:$A$459,$A7,SIGAF!$F$2:$F$459)</f>
        <v>2608813216</v>
      </c>
      <c r="C7" s="94">
        <f>SUMIF(SIGAF!$A$2:$A$459,$A7,SIGAF!$K$2:$K$459)</f>
        <v>2334886845.4299998</v>
      </c>
      <c r="D7" s="94">
        <f>SUMIF(SIGAF!$A$2:$A$459,$A7,SIGAF!$M$2:$M$459)</f>
        <v>237664526.88</v>
      </c>
      <c r="E7" s="144">
        <f>+C7/B7</f>
        <v>0.89499962324247895</v>
      </c>
    </row>
    <row r="8" spans="1:7" x14ac:dyDescent="0.25">
      <c r="B8" s="95"/>
      <c r="C8" s="95"/>
      <c r="D8" s="95"/>
      <c r="E8" s="95"/>
    </row>
    <row r="9" spans="1:7" ht="18.75" x14ac:dyDescent="0.25">
      <c r="B9" s="220" t="str">
        <f>+'ANALISIS POR PROG'!$B$7</f>
        <v>PROG 780</v>
      </c>
      <c r="C9" s="221"/>
      <c r="D9" s="221"/>
      <c r="E9" s="222"/>
    </row>
    <row r="10" spans="1:7" ht="18.75" x14ac:dyDescent="0.3">
      <c r="B10" s="97" t="s">
        <v>85</v>
      </c>
      <c r="C10" s="97" t="s">
        <v>33</v>
      </c>
      <c r="D10" s="97" t="s">
        <v>86</v>
      </c>
      <c r="E10" s="98" t="s">
        <v>87</v>
      </c>
    </row>
    <row r="11" spans="1:7" x14ac:dyDescent="0.25">
      <c r="A11">
        <v>214780</v>
      </c>
      <c r="B11" s="94">
        <f>SUMIF(SIGAF!$A$2:$A$459,$A11,SIGAF!$F$2:$F$459)</f>
        <v>1034622551</v>
      </c>
      <c r="C11" s="94">
        <f>SUMIF(SIGAF!$A$2:$A$459,$A11,SIGAF!$K$2:$K$459)</f>
        <v>937922572.63</v>
      </c>
      <c r="D11" s="94">
        <f>SUMIF(SIGAF!$A$2:$A$459,$A11,SIGAF!$M$2:$M$459)</f>
        <v>89247287.730000004</v>
      </c>
      <c r="E11" s="144">
        <f>+C11/B11</f>
        <v>0.90653598428089932</v>
      </c>
    </row>
    <row r="12" spans="1:7" x14ac:dyDescent="0.25">
      <c r="B12" s="96"/>
      <c r="C12" s="96"/>
      <c r="D12" s="96"/>
      <c r="E12" s="96"/>
    </row>
    <row r="13" spans="1:7" ht="18.75" x14ac:dyDescent="0.25">
      <c r="B13" s="220" t="str">
        <f>+'ANALISIS POR PROG'!$B$8</f>
        <v>PROG 781</v>
      </c>
      <c r="C13" s="221"/>
      <c r="D13" s="221"/>
      <c r="E13" s="222"/>
    </row>
    <row r="14" spans="1:7" ht="18.75" x14ac:dyDescent="0.3">
      <c r="B14" s="97" t="s">
        <v>85</v>
      </c>
      <c r="C14" s="97" t="s">
        <v>33</v>
      </c>
      <c r="D14" s="97" t="s">
        <v>86</v>
      </c>
      <c r="E14" s="98" t="s">
        <v>87</v>
      </c>
    </row>
    <row r="15" spans="1:7" x14ac:dyDescent="0.25">
      <c r="A15">
        <v>214781</v>
      </c>
      <c r="B15" s="94">
        <f>SUMIF(SIGAF!$A$2:$A$459,$A15,SIGAF!$F$2:$F$459)</f>
        <v>10740968852</v>
      </c>
      <c r="C15" s="94">
        <f>SUMIF(SIGAF!$A$2:$A$459,$A15,SIGAF!$K$2:$K$459)</f>
        <v>9843333943.6599998</v>
      </c>
      <c r="D15" s="94">
        <f>SUMIF(SIGAF!$A$2:$A$459,$A15,SIGAF!$M$2:$M$459)</f>
        <v>805215246.95000005</v>
      </c>
      <c r="E15" s="144">
        <f>+C15/B15</f>
        <v>0.91642886961981485</v>
      </c>
    </row>
    <row r="16" spans="1:7" x14ac:dyDescent="0.25">
      <c r="B16" s="96"/>
      <c r="C16" s="96"/>
      <c r="D16" s="96"/>
      <c r="E16" s="96"/>
    </row>
    <row r="17" spans="1:5" ht="18.75" x14ac:dyDescent="0.25">
      <c r="B17" s="220" t="str">
        <f>+'ANALISIS POR PROG'!$B$9</f>
        <v>PROG 783</v>
      </c>
      <c r="C17" s="221"/>
      <c r="D17" s="221"/>
      <c r="E17" s="222"/>
    </row>
    <row r="18" spans="1:5" ht="18.75" x14ac:dyDescent="0.3">
      <c r="B18" s="97" t="s">
        <v>85</v>
      </c>
      <c r="C18" s="97" t="s">
        <v>33</v>
      </c>
      <c r="D18" s="97" t="s">
        <v>86</v>
      </c>
      <c r="E18" s="98" t="s">
        <v>87</v>
      </c>
    </row>
    <row r="19" spans="1:5" x14ac:dyDescent="0.25">
      <c r="A19">
        <v>214783</v>
      </c>
      <c r="B19" s="94">
        <f>SUMIF(SIGAF!$A$2:$A$459,$A19,SIGAF!$F$2:$F$459)</f>
        <v>106772514109</v>
      </c>
      <c r="C19" s="94">
        <f>SUMIF(SIGAF!$A$2:$A$459,$A19,SIGAF!$K$2:$K$459)</f>
        <v>98043556410.990005</v>
      </c>
      <c r="D19" s="94">
        <f>SUMIF(SIGAF!$A$2:$A$459,$A19,SIGAF!$M$2:$M$459)</f>
        <v>4925473153.0100002</v>
      </c>
      <c r="E19" s="144">
        <f>+C19/B19</f>
        <v>0.91824714655403794</v>
      </c>
    </row>
    <row r="20" spans="1:5" x14ac:dyDescent="0.25">
      <c r="B20" s="96"/>
      <c r="C20" s="96"/>
      <c r="D20" s="96"/>
      <c r="E20" s="96"/>
    </row>
    <row r="21" spans="1:5" ht="18.75" x14ac:dyDescent="0.25">
      <c r="B21" s="220" t="str">
        <f>+'ANALISIS POR PROG'!$B$10</f>
        <v>PROG 784</v>
      </c>
      <c r="C21" s="221"/>
      <c r="D21" s="221"/>
      <c r="E21" s="222"/>
    </row>
    <row r="22" spans="1:5" ht="18.75" x14ac:dyDescent="0.3">
      <c r="B22" s="97" t="s">
        <v>85</v>
      </c>
      <c r="C22" s="97" t="s">
        <v>33</v>
      </c>
      <c r="D22" s="97" t="s">
        <v>86</v>
      </c>
      <c r="E22" s="98" t="s">
        <v>87</v>
      </c>
    </row>
    <row r="23" spans="1:5" x14ac:dyDescent="0.25">
      <c r="A23">
        <v>214784</v>
      </c>
      <c r="B23" s="94">
        <f>SUMIF(SIGAF!$A$2:$A$474,$A23,SIGAF!$F$2:$F$474)</f>
        <v>13145300255</v>
      </c>
      <c r="C23" s="94">
        <f>SUMIF(SIGAF!$A$2:$A$474,$A23,SIGAF!$K$2:$K$474)</f>
        <v>12682816792.959999</v>
      </c>
      <c r="D23" s="94">
        <f>SUMIF(SIGAF!$A$2:$A$474,$A23,SIGAF!$M$2:$M$474)</f>
        <v>462072945.04000002</v>
      </c>
      <c r="E23" s="144">
        <f>+C23/B23</f>
        <v>0.96481758095528558</v>
      </c>
    </row>
    <row r="24" spans="1:5" x14ac:dyDescent="0.25">
      <c r="B24" s="96"/>
      <c r="C24" s="96"/>
      <c r="D24" s="96"/>
      <c r="E24" s="96"/>
    </row>
    <row r="25" spans="1:5" x14ac:dyDescent="0.25">
      <c r="B25" s="25">
        <f>+B3-SIGAF!F2</f>
        <v>0</v>
      </c>
      <c r="C25" s="25">
        <f>+C3-SIGAF!K2</f>
        <v>0</v>
      </c>
      <c r="D25" s="25"/>
      <c r="E25" s="25"/>
    </row>
  </sheetData>
  <mergeCells count="6">
    <mergeCell ref="B21:E21"/>
    <mergeCell ref="B1:E1"/>
    <mergeCell ref="B5:E5"/>
    <mergeCell ref="B9:E9"/>
    <mergeCell ref="B13:E13"/>
    <mergeCell ref="B17:E17"/>
  </mergeCells>
  <pageMargins left="0.7" right="0.7" top="0.75" bottom="0.75" header="0.3" footer="0.3"/>
  <pageSetup orientation="portrait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0" workbookViewId="0">
      <selection activeCell="J63" sqref="J63"/>
    </sheetView>
  </sheetViews>
  <sheetFormatPr baseColWidth="10" defaultRowHeight="15" x14ac:dyDescent="0.25"/>
  <cols>
    <col min="2" max="2" width="17.42578125" bestFit="1" customWidth="1"/>
    <col min="3" max="3" width="7.140625" bestFit="1" customWidth="1"/>
    <col min="4" max="4" width="17.42578125" bestFit="1" customWidth="1"/>
    <col min="5" max="5" width="7.140625" bestFit="1" customWidth="1"/>
  </cols>
  <sheetData>
    <row r="1" spans="1:8" x14ac:dyDescent="0.25">
      <c r="A1" s="226" t="s">
        <v>71</v>
      </c>
      <c r="B1" s="211">
        <v>2018</v>
      </c>
      <c r="C1" s="228"/>
      <c r="D1" s="211">
        <v>2017</v>
      </c>
      <c r="E1" s="228"/>
    </row>
    <row r="2" spans="1:8" x14ac:dyDescent="0.25">
      <c r="A2" s="227"/>
      <c r="B2" s="61" t="s">
        <v>60</v>
      </c>
      <c r="C2" s="61" t="s">
        <v>72</v>
      </c>
      <c r="D2" s="61" t="s">
        <v>60</v>
      </c>
      <c r="E2" s="61" t="s">
        <v>72</v>
      </c>
      <c r="G2" s="93">
        <f>+B1</f>
        <v>2018</v>
      </c>
      <c r="H2" s="93">
        <f>+D1</f>
        <v>2017</v>
      </c>
    </row>
    <row r="3" spans="1:8" x14ac:dyDescent="0.25">
      <c r="A3" s="79" t="s">
        <v>75</v>
      </c>
      <c r="B3" s="74">
        <f>+'ANALISIS POR PROG'!C6</f>
        <v>2608813216</v>
      </c>
      <c r="C3" s="138">
        <f>+'ANALISIS POR PROG'!D6</f>
        <v>1.9424944991640266E-2</v>
      </c>
      <c r="D3" s="74">
        <v>2888329075</v>
      </c>
      <c r="E3" s="166">
        <v>2.1267084231978827E-2</v>
      </c>
    </row>
    <row r="4" spans="1:8" x14ac:dyDescent="0.25">
      <c r="A4" s="79" t="s">
        <v>76</v>
      </c>
      <c r="B4" s="74">
        <f>+'ANALISIS POR PROG'!C7</f>
        <v>1034622551</v>
      </c>
      <c r="C4" s="138">
        <f>+'ANALISIS POR PROG'!D7</f>
        <v>7.7036891782924508E-3</v>
      </c>
      <c r="D4" s="74">
        <v>1180395176</v>
      </c>
      <c r="E4" s="166">
        <v>8.6913793349580413E-3</v>
      </c>
    </row>
    <row r="5" spans="1:8" x14ac:dyDescent="0.25">
      <c r="A5" s="79" t="s">
        <v>77</v>
      </c>
      <c r="B5" s="74">
        <f>+'ANALISIS POR PROG'!C8</f>
        <v>10740968852</v>
      </c>
      <c r="C5" s="138">
        <f>+'ANALISIS POR PROG'!D8</f>
        <v>7.9976108610384122E-2</v>
      </c>
      <c r="D5" s="74">
        <v>10084688285</v>
      </c>
      <c r="E5" s="166">
        <v>7.4254667540036137E-2</v>
      </c>
    </row>
    <row r="6" spans="1:8" x14ac:dyDescent="0.25">
      <c r="A6" s="79" t="s">
        <v>78</v>
      </c>
      <c r="B6" s="74">
        <f>+'ANALISIS POR PROG'!C9</f>
        <v>106772514109</v>
      </c>
      <c r="C6" s="138">
        <f>+'ANALISIS POR PROG'!D9</f>
        <v>0.79501675339046551</v>
      </c>
      <c r="D6" s="74">
        <v>108178679615</v>
      </c>
      <c r="E6" s="166">
        <v>0.79653150030228326</v>
      </c>
    </row>
    <row r="7" spans="1:8" x14ac:dyDescent="0.25">
      <c r="A7" s="79" t="s">
        <v>79</v>
      </c>
      <c r="B7" s="74">
        <f>+'ANALISIS POR PROG'!C10</f>
        <v>13145300255</v>
      </c>
      <c r="C7" s="138">
        <f>+'ANALISIS POR PROG'!D10</f>
        <v>9.78785038292177E-2</v>
      </c>
      <c r="D7" s="74">
        <v>13480088000</v>
      </c>
      <c r="E7" s="166">
        <v>9.925536859074377E-2</v>
      </c>
    </row>
    <row r="8" spans="1:8" x14ac:dyDescent="0.25">
      <c r="A8" s="54" t="s">
        <v>15</v>
      </c>
      <c r="B8" s="55">
        <f>SUM(B3:B7)</f>
        <v>134302218983</v>
      </c>
      <c r="C8" s="56"/>
      <c r="D8" s="55">
        <v>135812180151</v>
      </c>
      <c r="E8" s="56"/>
    </row>
    <row r="42" spans="1:5" x14ac:dyDescent="0.25">
      <c r="A42" s="226" t="s">
        <v>71</v>
      </c>
      <c r="B42" s="211">
        <v>2018</v>
      </c>
      <c r="C42" s="228"/>
      <c r="D42" s="211">
        <v>2017</v>
      </c>
      <c r="E42" s="228"/>
    </row>
    <row r="43" spans="1:5" x14ac:dyDescent="0.25">
      <c r="A43" s="227"/>
      <c r="B43" s="61" t="s">
        <v>604</v>
      </c>
      <c r="C43" s="61" t="s">
        <v>72</v>
      </c>
      <c r="D43" s="61" t="s">
        <v>604</v>
      </c>
      <c r="E43" s="61" t="s">
        <v>72</v>
      </c>
    </row>
    <row r="44" spans="1:5" x14ac:dyDescent="0.25">
      <c r="A44" s="79" t="s">
        <v>75</v>
      </c>
      <c r="B44" s="74">
        <f>+'ANALISIS POR PROG'!L6</f>
        <v>2334886845.4299998</v>
      </c>
      <c r="C44" s="138">
        <f>+'ANALISIS POR PROG'!M6</f>
        <v>0.89499962324247895</v>
      </c>
      <c r="D44" s="74">
        <v>2575937092.5999999</v>
      </c>
      <c r="E44" s="166">
        <v>0.89184335500275358</v>
      </c>
    </row>
    <row r="45" spans="1:5" x14ac:dyDescent="0.25">
      <c r="A45" s="79" t="s">
        <v>76</v>
      </c>
      <c r="B45" s="74">
        <f>+'ANALISIS POR PROG'!L7</f>
        <v>937922572.63</v>
      </c>
      <c r="C45" s="138">
        <f>+'ANALISIS POR PROG'!M7</f>
        <v>0.90653598428089932</v>
      </c>
      <c r="D45" s="74">
        <v>1011673186.97</v>
      </c>
      <c r="E45" s="166">
        <v>0.85706313236407194</v>
      </c>
    </row>
    <row r="46" spans="1:5" x14ac:dyDescent="0.25">
      <c r="A46" s="79" t="s">
        <v>77</v>
      </c>
      <c r="B46" s="74">
        <f>+'ANALISIS POR PROG'!L8</f>
        <v>9843333943.6599998</v>
      </c>
      <c r="C46" s="138">
        <f>+'ANALISIS POR PROG'!M8</f>
        <v>0.91642886961981485</v>
      </c>
      <c r="D46" s="74">
        <v>8731089979.3500004</v>
      </c>
      <c r="E46" s="166">
        <v>0.86577688200205982</v>
      </c>
    </row>
    <row r="47" spans="1:5" x14ac:dyDescent="0.25">
      <c r="A47" s="79" t="s">
        <v>78</v>
      </c>
      <c r="B47" s="74">
        <f>+'ANALISIS POR PROG'!L9</f>
        <v>98043556410.990005</v>
      </c>
      <c r="C47" s="138">
        <f>+'ANALISIS POR PROG'!M9</f>
        <v>0.91824714655403794</v>
      </c>
      <c r="D47" s="74">
        <v>88838863182.520004</v>
      </c>
      <c r="E47" s="166">
        <v>0.82122340093899293</v>
      </c>
    </row>
    <row r="48" spans="1:5" x14ac:dyDescent="0.25">
      <c r="A48" s="79" t="s">
        <v>79</v>
      </c>
      <c r="B48" s="74">
        <f>+'ANALISIS POR PROG'!L10</f>
        <v>12682816792.959999</v>
      </c>
      <c r="C48" s="138">
        <f>+'ANALISIS POR PROG'!M10</f>
        <v>0.96481758095528558</v>
      </c>
      <c r="D48" s="74">
        <v>12476438803.379999</v>
      </c>
      <c r="E48" s="166">
        <v>0.92554579787461322</v>
      </c>
    </row>
    <row r="49" spans="1:5" x14ac:dyDescent="0.25">
      <c r="A49" s="54" t="s">
        <v>15</v>
      </c>
      <c r="B49" s="55">
        <f>SUM(B44:B48)</f>
        <v>123842516565.67001</v>
      </c>
      <c r="C49" s="56">
        <f>+'ANALISIS POR PROG'!M11</f>
        <v>0.922118171266746</v>
      </c>
      <c r="D49" s="55">
        <v>113634002244.82001</v>
      </c>
      <c r="E49" s="56">
        <v>0.83669964003580799</v>
      </c>
    </row>
  </sheetData>
  <mergeCells count="6">
    <mergeCell ref="A1:A2"/>
    <mergeCell ref="B1:C1"/>
    <mergeCell ref="D1:E1"/>
    <mergeCell ref="A42:A43"/>
    <mergeCell ref="B42:C42"/>
    <mergeCell ref="D42:E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"/>
    </sheetView>
  </sheetViews>
  <sheetFormatPr baseColWidth="10" defaultRowHeight="15" x14ac:dyDescent="0.25"/>
  <cols>
    <col min="1" max="1" width="37.85546875" bestFit="1" customWidth="1"/>
    <col min="2" max="2" width="20.42578125" bestFit="1" customWidth="1"/>
    <col min="3" max="3" width="22.85546875" bestFit="1" customWidth="1"/>
    <col min="4" max="4" width="30.28515625" bestFit="1" customWidth="1"/>
    <col min="5" max="5" width="18.28515625" bestFit="1" customWidth="1"/>
    <col min="6" max="6" width="14.42578125" customWidth="1"/>
  </cols>
  <sheetData>
    <row r="1" spans="1:6" ht="18" thickBot="1" x14ac:dyDescent="0.3">
      <c r="A1" s="229" t="s">
        <v>44</v>
      </c>
      <c r="B1" s="230"/>
      <c r="C1" s="230"/>
      <c r="D1" s="230"/>
      <c r="E1" s="230"/>
      <c r="F1" s="231"/>
    </row>
    <row r="2" spans="1:6" ht="15.75" thickBot="1" x14ac:dyDescent="0.3"/>
    <row r="3" spans="1:6" ht="33.75" customHeight="1" x14ac:dyDescent="0.25">
      <c r="A3" s="29" t="s">
        <v>0</v>
      </c>
      <c r="B3" s="7" t="s">
        <v>45</v>
      </c>
      <c r="C3" s="7" t="s">
        <v>54</v>
      </c>
      <c r="D3" s="7" t="s">
        <v>46</v>
      </c>
      <c r="E3" s="7" t="s">
        <v>47</v>
      </c>
      <c r="F3" s="30" t="s">
        <v>8</v>
      </c>
    </row>
    <row r="4" spans="1:6" ht="16.5" x14ac:dyDescent="0.25">
      <c r="A4" s="8" t="s">
        <v>9</v>
      </c>
      <c r="B4" s="16" t="e">
        <f>+#REF!</f>
        <v>#REF!</v>
      </c>
      <c r="C4" s="16" t="e">
        <f>+#REF!</f>
        <v>#REF!</v>
      </c>
      <c r="D4" s="16">
        <f>26829389123.4-3461184089.09</f>
        <v>23368205034.310001</v>
      </c>
      <c r="E4" s="16" t="e">
        <f>+C4-D4</f>
        <v>#REF!</v>
      </c>
      <c r="F4" s="31" t="e">
        <f>+E4/B4</f>
        <v>#REF!</v>
      </c>
    </row>
    <row r="5" spans="1:6" ht="16.5" x14ac:dyDescent="0.25">
      <c r="A5" s="8" t="s">
        <v>10</v>
      </c>
      <c r="B5" s="16" t="e">
        <f>+#REF!</f>
        <v>#REF!</v>
      </c>
      <c r="C5" s="16" t="e">
        <f>+#REF!</f>
        <v>#REF!</v>
      </c>
      <c r="D5" s="16">
        <f>1520802352.53-507409539.12+4542543.01</f>
        <v>1017935356.42</v>
      </c>
      <c r="E5" s="16" t="e">
        <f t="shared" ref="E5:E9" si="0">+C5-D5</f>
        <v>#REF!</v>
      </c>
      <c r="F5" s="31" t="e">
        <f t="shared" ref="F5:F10" si="1">+E5/B5</f>
        <v>#REF!</v>
      </c>
    </row>
    <row r="6" spans="1:6" ht="16.5" x14ac:dyDescent="0.25">
      <c r="A6" s="8" t="s">
        <v>11</v>
      </c>
      <c r="B6" s="16" t="e">
        <f>+#REF!</f>
        <v>#REF!</v>
      </c>
      <c r="C6" s="16" t="e">
        <f>+#REF!</f>
        <v>#REF!</v>
      </c>
      <c r="D6" s="16">
        <f>3114532393.51-1046587510.82</f>
        <v>2067944882.6900001</v>
      </c>
      <c r="E6" s="16" t="e">
        <f t="shared" si="0"/>
        <v>#REF!</v>
      </c>
      <c r="F6" s="31" t="e">
        <f t="shared" si="1"/>
        <v>#REF!</v>
      </c>
    </row>
    <row r="7" spans="1:6" ht="16.5" x14ac:dyDescent="0.25">
      <c r="A7" s="8" t="s">
        <v>12</v>
      </c>
      <c r="B7" s="16" t="e">
        <f>+#REF!</f>
        <v>#REF!</v>
      </c>
      <c r="C7" s="16" t="e">
        <f>+#REF!</f>
        <v>#REF!</v>
      </c>
      <c r="D7" s="16">
        <f>381303517.72-155353964</f>
        <v>225949553.72000003</v>
      </c>
      <c r="E7" s="16" t="e">
        <f t="shared" si="0"/>
        <v>#REF!</v>
      </c>
      <c r="F7" s="31" t="e">
        <f t="shared" si="1"/>
        <v>#REF!</v>
      </c>
    </row>
    <row r="8" spans="1:6" ht="16.5" x14ac:dyDescent="0.25">
      <c r="A8" s="8" t="s">
        <v>13</v>
      </c>
      <c r="B8" s="16" t="e">
        <f>+#REF!</f>
        <v>#REF!</v>
      </c>
      <c r="C8" s="16" t="e">
        <f>+#REF!</f>
        <v>#REF!</v>
      </c>
      <c r="D8" s="16">
        <v>970391201.72000003</v>
      </c>
      <c r="E8" s="16" t="e">
        <f t="shared" si="0"/>
        <v>#REF!</v>
      </c>
      <c r="F8" s="31" t="e">
        <f t="shared" si="1"/>
        <v>#REF!</v>
      </c>
    </row>
    <row r="9" spans="1:6" ht="16.5" x14ac:dyDescent="0.25">
      <c r="A9" s="8" t="s">
        <v>14</v>
      </c>
      <c r="B9" s="16" t="e">
        <f>+#REF!</f>
        <v>#REF!</v>
      </c>
      <c r="C9" s="16" t="e">
        <f>+#REF!</f>
        <v>#REF!</v>
      </c>
      <c r="D9" s="16">
        <v>9346324000</v>
      </c>
      <c r="E9" s="16" t="e">
        <f t="shared" si="0"/>
        <v>#REF!</v>
      </c>
      <c r="F9" s="31" t="e">
        <f t="shared" si="1"/>
        <v>#REF!</v>
      </c>
    </row>
    <row r="10" spans="1:6" ht="18" thickBot="1" x14ac:dyDescent="0.3">
      <c r="A10" s="9" t="s">
        <v>15</v>
      </c>
      <c r="B10" s="15" t="e">
        <f>SUM(B4:B9)</f>
        <v>#REF!</v>
      </c>
      <c r="C10" s="15" t="e">
        <f t="shared" ref="C10:E10" si="2">SUM(C4:C9)</f>
        <v>#REF!</v>
      </c>
      <c r="D10" s="15">
        <f t="shared" si="2"/>
        <v>36996750028.860001</v>
      </c>
      <c r="E10" s="15" t="e">
        <f t="shared" si="2"/>
        <v>#REF!</v>
      </c>
      <c r="F10" s="32" t="e">
        <f t="shared" si="1"/>
        <v>#REF!</v>
      </c>
    </row>
    <row r="12" spans="1:6" ht="15" customHeight="1" x14ac:dyDescent="0.25"/>
    <row r="15" spans="1:6" ht="18" thickBot="1" x14ac:dyDescent="0.3">
      <c r="A15" s="229" t="s">
        <v>48</v>
      </c>
      <c r="B15" s="230"/>
      <c r="C15" s="230"/>
      <c r="D15" s="230"/>
      <c r="E15" s="230"/>
      <c r="F15" s="231"/>
    </row>
    <row r="16" spans="1:6" ht="15.75" thickBot="1" x14ac:dyDescent="0.3">
      <c r="C16" s="25"/>
      <c r="D16" s="25"/>
      <c r="E16" s="25"/>
    </row>
    <row r="17" spans="1:6" ht="34.5" x14ac:dyDescent="0.25">
      <c r="A17" s="29" t="s">
        <v>56</v>
      </c>
      <c r="B17" s="7" t="s">
        <v>45</v>
      </c>
      <c r="C17" s="7" t="s">
        <v>54</v>
      </c>
      <c r="D17" s="7" t="s">
        <v>46</v>
      </c>
      <c r="E17" s="7" t="s">
        <v>47</v>
      </c>
      <c r="F17" s="30" t="s">
        <v>8</v>
      </c>
    </row>
    <row r="18" spans="1:6" x14ac:dyDescent="0.25">
      <c r="A18" s="26" t="s">
        <v>49</v>
      </c>
      <c r="B18" s="27">
        <f>+[8]proyeccion!$B$10</f>
        <v>3104857000</v>
      </c>
      <c r="C18" s="27">
        <f>+[8]proyeccion!$C$10</f>
        <v>1064850521.0999999</v>
      </c>
      <c r="D18" s="27">
        <f>+[8]proyeccion!$D$10</f>
        <v>817913281.75999999</v>
      </c>
      <c r="E18" s="27">
        <f>+C18-D18</f>
        <v>246937239.33999991</v>
      </c>
      <c r="F18" s="28">
        <f>+E18/B18</f>
        <v>7.953256441117898E-2</v>
      </c>
    </row>
    <row r="19" spans="1:6" x14ac:dyDescent="0.25">
      <c r="A19" s="26" t="s">
        <v>50</v>
      </c>
      <c r="B19" s="27">
        <f>+[9]Proyeccion!$B$10</f>
        <v>886495000</v>
      </c>
      <c r="C19" s="27">
        <f>+[9]Proyeccion!$C$10</f>
        <v>344496181.24000001</v>
      </c>
      <c r="D19" s="27">
        <f>+[9]Proyeccion!$D$10</f>
        <v>196164904.31</v>
      </c>
      <c r="E19" s="27">
        <f t="shared" ref="E19:E21" si="3">+C19-D19</f>
        <v>148331276.93000001</v>
      </c>
      <c r="F19" s="28">
        <f t="shared" ref="F19:F22" si="4">+E19/B19</f>
        <v>0.16732330913315924</v>
      </c>
    </row>
    <row r="20" spans="1:6" x14ac:dyDescent="0.25">
      <c r="A20" s="26" t="s">
        <v>51</v>
      </c>
      <c r="B20" s="27">
        <f>+[10]proyecion!B$10</f>
        <v>9259897000</v>
      </c>
      <c r="C20" s="27">
        <f>+[10]proyecion!C$10</f>
        <v>2809082347.3700004</v>
      </c>
      <c r="D20" s="27">
        <f>+[10]proyecion!D$10</f>
        <v>2552094589.6900001</v>
      </c>
      <c r="E20" s="27">
        <f t="shared" si="3"/>
        <v>256987757.68000031</v>
      </c>
      <c r="F20" s="28">
        <f t="shared" si="4"/>
        <v>2.7752766329906295E-2</v>
      </c>
    </row>
    <row r="21" spans="1:6" x14ac:dyDescent="0.25">
      <c r="A21" s="26" t="s">
        <v>52</v>
      </c>
      <c r="B21" s="27">
        <f>+[11]proyeccion!B$10</f>
        <v>152948794714.44</v>
      </c>
      <c r="C21" s="27">
        <f>+[11]proyeccion!C$10</f>
        <v>69213232409.300003</v>
      </c>
      <c r="D21" s="27">
        <f>+[11]proyeccion!D$10</f>
        <v>29520016193.59</v>
      </c>
      <c r="E21" s="27">
        <f t="shared" si="3"/>
        <v>39693216215.710007</v>
      </c>
      <c r="F21" s="28">
        <f t="shared" si="4"/>
        <v>0.25951964047718346</v>
      </c>
    </row>
    <row r="22" spans="1:6" x14ac:dyDescent="0.25">
      <c r="A22" s="26" t="s">
        <v>53</v>
      </c>
      <c r="B22" s="27">
        <f>+[12]proyeccion!B$10</f>
        <v>13799039000</v>
      </c>
      <c r="C22" s="27">
        <f>+[12]proyeccion!C$10</f>
        <v>4783423549.5699997</v>
      </c>
      <c r="D22" s="27">
        <f>+[12]proyeccion!D$10</f>
        <v>3910561059.5099998</v>
      </c>
      <c r="E22" s="27">
        <f>+[12]proyeccion!E$10</f>
        <v>872862490.06000042</v>
      </c>
      <c r="F22" s="28">
        <f t="shared" si="4"/>
        <v>6.3255310029923129E-2</v>
      </c>
    </row>
    <row r="23" spans="1:6" ht="18" thickBot="1" x14ac:dyDescent="0.3">
      <c r="A23" s="9" t="s">
        <v>15</v>
      </c>
      <c r="B23" s="15">
        <f>SUM(B18:B22)</f>
        <v>179999082714.44</v>
      </c>
      <c r="C23" s="15">
        <f>SUM(C18:C22)</f>
        <v>78215085008.580017</v>
      </c>
      <c r="D23" s="15">
        <f t="shared" ref="D23:E23" si="5">SUM(D18:D22)</f>
        <v>36996750028.860001</v>
      </c>
      <c r="E23" s="15">
        <f t="shared" si="5"/>
        <v>41218334979.720001</v>
      </c>
      <c r="F23" s="19">
        <f>+E23/B23</f>
        <v>0.22899191683721484</v>
      </c>
    </row>
    <row r="25" spans="1:6" x14ac:dyDescent="0.25">
      <c r="E25" s="33" t="e">
        <f>+E23-E10</f>
        <v>#REF!</v>
      </c>
    </row>
  </sheetData>
  <mergeCells count="2">
    <mergeCell ref="A15:F1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U790"/>
  <sheetViews>
    <sheetView topLeftCell="B1" zoomScale="84" zoomScaleNormal="84" workbookViewId="0">
      <selection activeCell="B27" sqref="B27"/>
    </sheetView>
  </sheetViews>
  <sheetFormatPr baseColWidth="10" defaultRowHeight="15" x14ac:dyDescent="0.25"/>
  <cols>
    <col min="1" max="1" width="7.28515625" hidden="1" customWidth="1"/>
    <col min="2" max="2" width="37.85546875" bestFit="1" customWidth="1"/>
    <col min="3" max="3" width="21" bestFit="1" customWidth="1"/>
    <col min="4" max="4" width="23.140625" bestFit="1" customWidth="1"/>
    <col min="5" max="5" width="17.140625" bestFit="1" customWidth="1"/>
    <col min="6" max="6" width="18.28515625" bestFit="1" customWidth="1"/>
    <col min="7" max="7" width="16" bestFit="1" customWidth="1"/>
    <col min="8" max="8" width="19.7109375" bestFit="1" customWidth="1"/>
    <col min="9" max="9" width="14.7109375" bestFit="1" customWidth="1"/>
    <col min="10" max="10" width="18.28515625" bestFit="1" customWidth="1"/>
    <col min="11" max="11" width="9.28515625" bestFit="1" customWidth="1"/>
    <col min="12" max="12" width="28.140625" bestFit="1" customWidth="1"/>
    <col min="13" max="13" width="28.42578125" bestFit="1" customWidth="1"/>
    <col min="14" max="14" width="17.42578125" bestFit="1" customWidth="1"/>
  </cols>
  <sheetData>
    <row r="1" spans="1:21" ht="15.75" x14ac:dyDescent="0.25">
      <c r="B1" s="170" t="s">
        <v>57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36"/>
      <c r="P1" s="36"/>
      <c r="Q1" s="36"/>
      <c r="R1" s="36"/>
      <c r="S1" s="36"/>
      <c r="T1" s="36"/>
      <c r="U1" s="37"/>
    </row>
    <row r="2" spans="1:21" ht="15" customHeight="1" x14ac:dyDescent="0.25">
      <c r="B2" s="170" t="str">
        <f>+Estado!A4</f>
        <v xml:space="preserve">AL 31 DE DICIEMBRE 2018        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21" ht="15" customHeight="1" x14ac:dyDescent="0.25">
      <c r="B3" s="170" t="s">
        <v>55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38"/>
      <c r="P3" s="38"/>
      <c r="Q3" s="38"/>
      <c r="R3" s="38"/>
      <c r="S3" s="38"/>
      <c r="T3" s="38"/>
      <c r="U3" s="39"/>
    </row>
    <row r="5" spans="1:21" ht="17.25" hidden="1" x14ac:dyDescent="0.25">
      <c r="B5" s="179" t="s">
        <v>0</v>
      </c>
      <c r="C5" s="179" t="s">
        <v>1</v>
      </c>
      <c r="D5" s="179" t="s">
        <v>2</v>
      </c>
      <c r="E5" s="179" t="s">
        <v>3</v>
      </c>
      <c r="F5" s="145" t="s">
        <v>4</v>
      </c>
      <c r="G5" s="145"/>
      <c r="H5" s="145"/>
      <c r="I5" s="115"/>
      <c r="J5" s="147"/>
      <c r="K5" s="147"/>
      <c r="L5" s="179" t="s">
        <v>6</v>
      </c>
      <c r="M5" s="179" t="s">
        <v>7</v>
      </c>
      <c r="N5" s="179" t="s">
        <v>8</v>
      </c>
    </row>
    <row r="6" spans="1:21" ht="34.5" x14ac:dyDescent="0.25">
      <c r="B6" s="179"/>
      <c r="C6" s="179"/>
      <c r="D6" s="179"/>
      <c r="E6" s="179"/>
      <c r="F6" s="115" t="s">
        <v>43</v>
      </c>
      <c r="G6" s="115" t="s">
        <v>31</v>
      </c>
      <c r="H6" s="115" t="s">
        <v>33</v>
      </c>
      <c r="I6" s="115" t="s">
        <v>567</v>
      </c>
      <c r="J6" s="147" t="s">
        <v>583</v>
      </c>
      <c r="K6" s="147" t="s">
        <v>584</v>
      </c>
      <c r="L6" s="179"/>
      <c r="M6" s="179"/>
      <c r="N6" s="179"/>
    </row>
    <row r="7" spans="1:21" ht="16.5" x14ac:dyDescent="0.25">
      <c r="A7" s="117" t="str">
        <f>+Estado!A11</f>
        <v>E-0</v>
      </c>
      <c r="B7" s="118" t="s">
        <v>9</v>
      </c>
      <c r="C7" s="16">
        <f>SUMIF(Estado!$A$9:$A$368,$A7,Estado!$C$9:$C$368)</f>
        <v>89646093488</v>
      </c>
      <c r="D7" s="16">
        <f>SUMIF(Estado!$A$9:$A$368,$A7,Estado!$D$9:$D$368)</f>
        <v>89640118987</v>
      </c>
      <c r="E7" s="16">
        <f>SUMIF(Estado!$A$9:$A$368,$A7,Estado!$E$9:$E$368)</f>
        <v>0</v>
      </c>
      <c r="F7" s="16">
        <f>SUMIF(Estado!$A$9:$A$368,$A7,Estado!$G$9:$G$368)</f>
        <v>0</v>
      </c>
      <c r="G7" s="16">
        <f>SUMIF(Estado!$A$9:$A$368,$A7,Estado!$I$9:$I$368)</f>
        <v>0</v>
      </c>
      <c r="H7" s="16">
        <f>SUMIF(Estado!$A$9:$A$368,$A7,Estado!$K$9:$K$368)</f>
        <v>85726976935.610001</v>
      </c>
      <c r="I7" s="31">
        <f t="shared" ref="I7:I14" si="0">+H7/C7</f>
        <v>0.95628234985036342</v>
      </c>
      <c r="J7" s="16">
        <f>+F7+H7</f>
        <v>85726976935.610001</v>
      </c>
      <c r="K7" s="31">
        <f>+J7/C7</f>
        <v>0.95628234985036342</v>
      </c>
      <c r="L7" s="16">
        <f>SUMIF(Estado!$A$9:$A$368,$A7,Estado!$O$9:$O$368)</f>
        <v>3919116552.3899999</v>
      </c>
      <c r="M7" s="18">
        <f t="shared" ref="M7:M14" si="1">SUM(F7:H7)/C7</f>
        <v>0.95628234985036342</v>
      </c>
      <c r="N7" s="31">
        <f t="shared" ref="N7:N14" si="2">+L7/C7</f>
        <v>4.3717650149636599E-2</v>
      </c>
    </row>
    <row r="8" spans="1:21" ht="16.5" x14ac:dyDescent="0.25">
      <c r="A8" s="117" t="str">
        <f>+Estado!A62</f>
        <v>E-1</v>
      </c>
      <c r="B8" s="118" t="s">
        <v>10</v>
      </c>
      <c r="C8" s="16">
        <f>SUMIF(Estado!$A$9:$A$368,$A8,Estado!$C$9:$C$368)</f>
        <v>16216640106.32</v>
      </c>
      <c r="D8" s="16">
        <f>SUMIF(Estado!$A$9:$A$368,$A8,Estado!$D$9:$D$368)</f>
        <v>16216640106.32</v>
      </c>
      <c r="E8" s="16">
        <f>SUMIF(Estado!$A$9:$A$368,$A8,Estado!$E$9:$E$368)</f>
        <v>0</v>
      </c>
      <c r="F8" s="16">
        <f>SUMIF(Estado!$A$9:$A$368,$A8,Estado!$G$9:$G$368)</f>
        <v>1869966369.95</v>
      </c>
      <c r="G8" s="16">
        <f>SUMIF(Estado!$A$9:$A$368,$A8,Estado!$I$9:$I$368)</f>
        <v>0</v>
      </c>
      <c r="H8" s="16">
        <f>SUMIF(Estado!$A$9:$A$368,$A8,Estado!$K$9:$K$368)</f>
        <v>13075561583.459999</v>
      </c>
      <c r="I8" s="31">
        <f t="shared" si="0"/>
        <v>0.80630522091713375</v>
      </c>
      <c r="J8" s="16">
        <f t="shared" ref="J8:J12" si="3">+F8+H8</f>
        <v>14945527953.41</v>
      </c>
      <c r="K8" s="31">
        <f t="shared" ref="K8:K14" si="4">+J8/C8</f>
        <v>0.92161679949876807</v>
      </c>
      <c r="L8" s="16">
        <f>SUMIF(Estado!$A$9:$A$368,$A8,Estado!$O$9:$O$368)</f>
        <v>1271112152.9100001</v>
      </c>
      <c r="M8" s="18">
        <f t="shared" si="1"/>
        <v>0.92161679949876807</v>
      </c>
      <c r="N8" s="31">
        <f t="shared" si="2"/>
        <v>7.8383200501231959E-2</v>
      </c>
    </row>
    <row r="9" spans="1:21" ht="16.5" x14ac:dyDescent="0.25">
      <c r="A9" s="117" t="str">
        <f>+Estado!A116</f>
        <v>E-2</v>
      </c>
      <c r="B9" s="118" t="s">
        <v>568</v>
      </c>
      <c r="C9" s="16">
        <f>SUMIF(Estado!$A$9:$A$368,$A9,Estado!$C$9:$C$368)</f>
        <v>15431160767.51</v>
      </c>
      <c r="D9" s="16">
        <f>SUMIF(Estado!$A$9:$A$368,$A9,Estado!$D$9:$D$368)</f>
        <v>15431160767.51</v>
      </c>
      <c r="E9" s="16">
        <f>SUMIF(Estado!$A$9:$A$368,$A9,Estado!$E$9:$E$368)</f>
        <v>0</v>
      </c>
      <c r="F9" s="16">
        <f>SUMIF(Estado!$A$9:$A$368,$A9,Estado!$G$9:$G$368)</f>
        <v>1203945855.76</v>
      </c>
      <c r="G9" s="16">
        <f>SUMIF(Estado!$A$9:$A$368,$A9,Estado!$I$9:$I$368)</f>
        <v>0</v>
      </c>
      <c r="H9" s="16">
        <f>SUMIF(Estado!$A$9:$A$368,$A9,Estado!$K$9:$K$368)</f>
        <v>13707288427.529999</v>
      </c>
      <c r="I9" s="31">
        <f t="shared" si="0"/>
        <v>0.88828628215645444</v>
      </c>
      <c r="J9" s="16">
        <f t="shared" si="3"/>
        <v>14911234283.289999</v>
      </c>
      <c r="K9" s="31">
        <f t="shared" si="4"/>
        <v>0.96630671586840722</v>
      </c>
      <c r="L9" s="16">
        <f>SUMIF(Estado!$A$9:$A$368,$A9,Estado!$O$9:$O$368)</f>
        <v>519926484.21999997</v>
      </c>
      <c r="M9" s="18">
        <f t="shared" si="1"/>
        <v>0.96630671586840722</v>
      </c>
      <c r="N9" s="31">
        <f t="shared" si="2"/>
        <v>3.3693284131592664E-2</v>
      </c>
    </row>
    <row r="10" spans="1:21" ht="16.5" x14ac:dyDescent="0.25">
      <c r="A10" s="117" t="str">
        <f>+Estado!A146</f>
        <v>E-5</v>
      </c>
      <c r="B10" s="118" t="s">
        <v>12</v>
      </c>
      <c r="C10" s="16">
        <f>SUMIF(Estado!$A$9:$A$368,$A10,Estado!$C$9:$C$368)</f>
        <v>3939399444</v>
      </c>
      <c r="D10" s="16">
        <f>SUMIF(Estado!$A$9:$A$368,$A10,Estado!$D$9:$D$368)</f>
        <v>3939399444</v>
      </c>
      <c r="E10" s="16">
        <f>SUMIF(Estado!$A$9:$A$368,$A10,Estado!$E$9:$E$368)</f>
        <v>0</v>
      </c>
      <c r="F10" s="16">
        <f>SUMIF(Estado!$A$9:$A$368,$A10,Estado!$G$9:$G$368)</f>
        <v>788244237.63</v>
      </c>
      <c r="G10" s="16">
        <f>SUMIF(Estado!$A$9:$A$368,$A10,Estado!$I$9:$I$368)</f>
        <v>0</v>
      </c>
      <c r="H10" s="16">
        <f>SUMIF(Estado!$A$9:$A$368,$A10,Estado!$K$9:$K$368)</f>
        <v>2785787519.5600004</v>
      </c>
      <c r="I10" s="31">
        <f t="shared" si="0"/>
        <v>0.70716045914129455</v>
      </c>
      <c r="J10" s="16">
        <f t="shared" si="3"/>
        <v>3574031757.1900005</v>
      </c>
      <c r="K10" s="31">
        <f t="shared" si="4"/>
        <v>0.90725294756121222</v>
      </c>
      <c r="L10" s="16">
        <f>SUMIF(Estado!$A$9:$A$368,$A10,Estado!$O$9:$O$368)</f>
        <v>365367686.80999994</v>
      </c>
      <c r="M10" s="18">
        <f t="shared" si="1"/>
        <v>0.90725294756121222</v>
      </c>
      <c r="N10" s="31">
        <f t="shared" si="2"/>
        <v>9.2747052438787905E-2</v>
      </c>
    </row>
    <row r="11" spans="1:21" ht="16.5" x14ac:dyDescent="0.25">
      <c r="A11" s="117" t="str">
        <f>+Estado!A161</f>
        <v>E-6</v>
      </c>
      <c r="B11" s="118" t="s">
        <v>13</v>
      </c>
      <c r="C11" s="16">
        <f>SUMIF(Estado!$A$9:$A$368,$A11,Estado!$C$9:$C$368)</f>
        <v>4153313177.1700001</v>
      </c>
      <c r="D11" s="16">
        <f>SUMIF(Estado!$A$9:$A$368,$A11,Estado!$D$9:$D$368)</f>
        <v>4153313177.1700001</v>
      </c>
      <c r="E11" s="16">
        <f>SUMIF(Estado!$A$9:$A$368,$A11,Estado!$E$9:$E$368)</f>
        <v>0</v>
      </c>
      <c r="F11" s="16">
        <f>SUMIF(Estado!$A$9:$A$368,$A11,Estado!$G$9:$G$368)</f>
        <v>77872794.379999995</v>
      </c>
      <c r="G11" s="16">
        <f>SUMIF(Estado!$A$9:$A$368,$A11,Estado!$I$9:$I$368)</f>
        <v>0</v>
      </c>
      <c r="H11" s="16">
        <f>SUMIF(Estado!$A$9:$A$368,$A11,Estado!$K$9:$K$368)</f>
        <v>3804502099.5099998</v>
      </c>
      <c r="I11" s="31">
        <f t="shared" si="0"/>
        <v>0.91601618688969788</v>
      </c>
      <c r="J11" s="16">
        <f t="shared" si="3"/>
        <v>3882374893.8899999</v>
      </c>
      <c r="K11" s="31">
        <f t="shared" si="4"/>
        <v>0.93476574683332381</v>
      </c>
      <c r="L11" s="16">
        <f>SUMIF(Estado!$A$9:$A$368,$A11,Estado!$O$9:$O$368)</f>
        <v>270938283.28000003</v>
      </c>
      <c r="M11" s="18">
        <f t="shared" si="1"/>
        <v>0.93476574683332381</v>
      </c>
      <c r="N11" s="31">
        <f t="shared" si="2"/>
        <v>6.5234253166676193E-2</v>
      </c>
    </row>
    <row r="12" spans="1:21" ht="16.5" x14ac:dyDescent="0.25">
      <c r="A12" t="str">
        <f>+Estado!A192</f>
        <v>E-7</v>
      </c>
      <c r="B12" s="118" t="s">
        <v>14</v>
      </c>
      <c r="C12" s="16">
        <f>SUMIF(Estado!$A$9:$A$368,$A12,Estado!$C$9:$C$368)</f>
        <v>4742400000</v>
      </c>
      <c r="D12" s="16">
        <f>SUMIF(Estado!$A$9:$A$368,$A12,Estado!$D$9:$D$368)</f>
        <v>4742400000</v>
      </c>
      <c r="E12" s="16">
        <f>SUMIF(Estado!$A$9:$A$368,$A12,Estado!$E$9:$E$368)</f>
        <v>0</v>
      </c>
      <c r="F12" s="16">
        <f>SUMIF(Estado!$A$9:$A$368,$A12,Estado!$G$9:$G$368)</f>
        <v>0</v>
      </c>
      <c r="G12" s="16">
        <f>SUMIF(Estado!$A$9:$A$368,$A12,Estado!$I$9:$I$368)</f>
        <v>0</v>
      </c>
      <c r="H12" s="16">
        <f>SUMIF(Estado!$A$9:$A$368,$A12,Estado!$K$9:$K$368)</f>
        <v>4742400000</v>
      </c>
      <c r="I12" s="31">
        <f t="shared" si="0"/>
        <v>1</v>
      </c>
      <c r="J12" s="16">
        <f t="shared" si="3"/>
        <v>4742400000</v>
      </c>
      <c r="K12" s="31">
        <f t="shared" si="4"/>
        <v>1</v>
      </c>
      <c r="L12" s="16">
        <f>SUMIF(Estado!$A$9:$A$368,$A12,Estado!$O$9:$O$368)</f>
        <v>0</v>
      </c>
      <c r="M12" s="18">
        <f t="shared" si="1"/>
        <v>1</v>
      </c>
      <c r="N12" s="31">
        <f t="shared" si="2"/>
        <v>0</v>
      </c>
    </row>
    <row r="13" spans="1:21" ht="16.5" x14ac:dyDescent="0.25">
      <c r="A13" t="str">
        <f>+Estado!A197</f>
        <v>E-9</v>
      </c>
      <c r="B13" s="118" t="s">
        <v>592</v>
      </c>
      <c r="C13" s="16">
        <f>SUMIF(Estado!$A$9:$A$368,$A13,Estado!$C$9:$C$368)</f>
        <v>173212000</v>
      </c>
      <c r="D13" s="16">
        <f>SUMIF(Estado!$A$9:$A$368,$A13,Estado!$D$9:$D$368)</f>
        <v>173212000</v>
      </c>
      <c r="E13" s="16">
        <f>SUMIF(Estado!$A$9:$A$368,$A13,Estado!$E$9:$E$368)</f>
        <v>0</v>
      </c>
      <c r="F13" s="16">
        <f>SUMIF(Estado!$A$9:$A$368,$A13,Estado!$G$9:$G$368)</f>
        <v>0</v>
      </c>
      <c r="G13" s="16">
        <f>SUMIF(Estado!$A$9:$A$368,$A13,Estado!$I$9:$I$368)</f>
        <v>0</v>
      </c>
      <c r="H13" s="16">
        <f>SUMIF(Estado!$A$9:$A$368,$A13,Estado!$K$9:$K$368)</f>
        <v>0</v>
      </c>
      <c r="I13" s="31">
        <f>+H13/C13</f>
        <v>0</v>
      </c>
      <c r="J13" s="16">
        <f t="shared" ref="J13" si="5">+F13+H13</f>
        <v>0</v>
      </c>
      <c r="K13" s="31">
        <f t="shared" ref="K13" si="6">+J13/C13</f>
        <v>0</v>
      </c>
      <c r="L13" s="16">
        <f>SUMIF(Estado!$A$9:$A$368,$A13,Estado!$O$9:$O$368)</f>
        <v>173212000</v>
      </c>
      <c r="M13" s="18">
        <f>SUM(F13:H13)/C13</f>
        <v>0</v>
      </c>
      <c r="N13" s="31">
        <f t="shared" ref="N13" si="7">+L13/C13</f>
        <v>1</v>
      </c>
    </row>
    <row r="14" spans="1:21" ht="17.25" x14ac:dyDescent="0.25">
      <c r="B14" s="119" t="s">
        <v>15</v>
      </c>
      <c r="C14" s="120">
        <f t="shared" ref="C14:H14" si="8">SUM(C7:C13)</f>
        <v>134302218983</v>
      </c>
      <c r="D14" s="120">
        <f t="shared" si="8"/>
        <v>134296244482</v>
      </c>
      <c r="E14" s="120">
        <f t="shared" si="8"/>
        <v>0</v>
      </c>
      <c r="F14" s="120">
        <f t="shared" si="8"/>
        <v>3940029257.7200003</v>
      </c>
      <c r="G14" s="120">
        <f t="shared" si="8"/>
        <v>0</v>
      </c>
      <c r="H14" s="120">
        <f t="shared" si="8"/>
        <v>123842516565.67</v>
      </c>
      <c r="I14" s="146">
        <f t="shared" si="0"/>
        <v>0.92211817126674589</v>
      </c>
      <c r="J14" s="120">
        <f>SUM(J7:J13)</f>
        <v>127782545823.39</v>
      </c>
      <c r="K14" s="146">
        <f t="shared" si="4"/>
        <v>0.95145520893861579</v>
      </c>
      <c r="L14" s="120">
        <f>SUM(L7:L13)</f>
        <v>6519673159.6099997</v>
      </c>
      <c r="M14" s="121">
        <f t="shared" si="1"/>
        <v>0.95145520893861579</v>
      </c>
      <c r="N14" s="146">
        <f t="shared" si="2"/>
        <v>4.8544791061384186E-2</v>
      </c>
    </row>
    <row r="15" spans="1:21" ht="16.5" x14ac:dyDescent="0.25">
      <c r="B15" s="4"/>
      <c r="C15" s="20">
        <f>+C14-Estado!C200</f>
        <v>0</v>
      </c>
      <c r="D15" s="20">
        <f>+D14-Estado!D200</f>
        <v>0</v>
      </c>
      <c r="E15" s="20">
        <f>+E14-Estado!E200</f>
        <v>0</v>
      </c>
      <c r="F15" s="20">
        <f>+F14-Estado!G10</f>
        <v>0</v>
      </c>
      <c r="G15" s="20">
        <f>+G14-Estado!I10</f>
        <v>0</v>
      </c>
      <c r="H15" s="20">
        <f>+H14-Estado!K10</f>
        <v>0</v>
      </c>
      <c r="I15" s="20"/>
      <c r="J15" s="20"/>
      <c r="K15" s="20"/>
      <c r="L15" s="20">
        <f>+C14-F14-H14-E14-G14-L14</f>
        <v>0</v>
      </c>
      <c r="M15" s="5"/>
      <c r="N15" s="5"/>
    </row>
    <row r="16" spans="1:21" ht="16.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17"/>
      <c r="M16" s="4"/>
      <c r="N16" s="4"/>
    </row>
    <row r="17" spans="2:15" ht="51" hidden="1" customHeight="1" thickBot="1" x14ac:dyDescent="0.3">
      <c r="B17" s="180" t="s">
        <v>16</v>
      </c>
      <c r="C17" s="180" t="s">
        <v>1</v>
      </c>
      <c r="D17" s="180" t="s">
        <v>2</v>
      </c>
      <c r="E17" s="180" t="s">
        <v>3</v>
      </c>
      <c r="F17" s="182" t="s">
        <v>4</v>
      </c>
      <c r="G17" s="183"/>
      <c r="H17" s="184"/>
      <c r="I17" s="154"/>
      <c r="J17" s="154"/>
      <c r="K17" s="154"/>
      <c r="L17" s="180" t="s">
        <v>6</v>
      </c>
      <c r="M17" s="180" t="s">
        <v>7</v>
      </c>
      <c r="N17" s="180" t="s">
        <v>8</v>
      </c>
    </row>
    <row r="18" spans="2:15" ht="34.5" x14ac:dyDescent="0.25">
      <c r="B18" s="181"/>
      <c r="C18" s="181"/>
      <c r="D18" s="181"/>
      <c r="E18" s="181"/>
      <c r="F18" s="154" t="s">
        <v>43</v>
      </c>
      <c r="G18" s="154" t="s">
        <v>31</v>
      </c>
      <c r="H18" s="154" t="s">
        <v>33</v>
      </c>
      <c r="I18" s="154" t="s">
        <v>567</v>
      </c>
      <c r="J18" s="154" t="s">
        <v>583</v>
      </c>
      <c r="K18" s="154" t="s">
        <v>584</v>
      </c>
      <c r="L18" s="181"/>
      <c r="M18" s="181"/>
      <c r="N18" s="181"/>
    </row>
    <row r="19" spans="2:15" ht="16.5" x14ac:dyDescent="0.25">
      <c r="B19" s="122" t="s">
        <v>17</v>
      </c>
      <c r="C19" s="16">
        <f>+C7+Estado!C183</f>
        <v>90096886788</v>
      </c>
      <c r="D19" s="16">
        <f>+D7+Estado!D183</f>
        <v>90090912287</v>
      </c>
      <c r="E19" s="16">
        <f>+E7+Estado!E183</f>
        <v>0</v>
      </c>
      <c r="F19" s="16">
        <f>+F7+Estado!G183</f>
        <v>0</v>
      </c>
      <c r="G19" s="16">
        <f>+G7+Estado!I183</f>
        <v>0</v>
      </c>
      <c r="H19" s="16">
        <f>+H7+Estado!K183</f>
        <v>86150043293.029999</v>
      </c>
      <c r="I19" s="155">
        <f t="shared" ref="I19:I25" si="9">+H19/C19</f>
        <v>0.95619334212671503</v>
      </c>
      <c r="J19" s="16">
        <f t="shared" ref="J19:J23" si="10">+F19+H19</f>
        <v>86150043293.029999</v>
      </c>
      <c r="K19" s="31">
        <f t="shared" ref="K19:K25" si="11">+J19/C19</f>
        <v>0.95619334212671503</v>
      </c>
      <c r="L19" s="16">
        <f>+L7+Estado!O183</f>
        <v>3946843494.9699998</v>
      </c>
      <c r="M19" s="18">
        <f t="shared" ref="M19:M25" si="12">SUM(F19:H19)/C19</f>
        <v>0.95619334212671503</v>
      </c>
      <c r="N19" s="155">
        <f t="shared" ref="N19:N25" si="13">+L19/C19</f>
        <v>4.3806657873284915E-2</v>
      </c>
      <c r="O19" s="131">
        <f>+F19/C19</f>
        <v>0</v>
      </c>
    </row>
    <row r="20" spans="2:15" ht="16.5" x14ac:dyDescent="0.25">
      <c r="B20" s="122" t="s">
        <v>18</v>
      </c>
      <c r="C20" s="16">
        <f>+C8+C9</f>
        <v>31647800873.830002</v>
      </c>
      <c r="D20" s="16">
        <f t="shared" ref="D20:L20" si="14">+D8+D9</f>
        <v>31647800873.830002</v>
      </c>
      <c r="E20" s="16">
        <f t="shared" si="14"/>
        <v>0</v>
      </c>
      <c r="F20" s="16">
        <f t="shared" si="14"/>
        <v>3073912225.71</v>
      </c>
      <c r="G20" s="16">
        <f t="shared" si="14"/>
        <v>0</v>
      </c>
      <c r="H20" s="16">
        <f t="shared" si="14"/>
        <v>26782850010.989998</v>
      </c>
      <c r="I20" s="155">
        <f t="shared" si="9"/>
        <v>0.84627839127795768</v>
      </c>
      <c r="J20" s="16">
        <f t="shared" si="10"/>
        <v>29856762236.699997</v>
      </c>
      <c r="K20" s="31">
        <f t="shared" si="11"/>
        <v>0.94340716929209956</v>
      </c>
      <c r="L20" s="16">
        <f t="shared" si="14"/>
        <v>1791038637.1300001</v>
      </c>
      <c r="M20" s="18">
        <f t="shared" si="12"/>
        <v>0.94340716929209956</v>
      </c>
      <c r="N20" s="155">
        <f t="shared" si="13"/>
        <v>5.6592830707900291E-2</v>
      </c>
    </row>
    <row r="21" spans="2:15" ht="16.5" x14ac:dyDescent="0.25">
      <c r="B21" s="122" t="s">
        <v>19</v>
      </c>
      <c r="C21" s="16">
        <f>+C10</f>
        <v>3939399444</v>
      </c>
      <c r="D21" s="16">
        <f t="shared" ref="D21:L21" si="15">+D10</f>
        <v>3939399444</v>
      </c>
      <c r="E21" s="16">
        <f t="shared" si="15"/>
        <v>0</v>
      </c>
      <c r="F21" s="16">
        <f t="shared" si="15"/>
        <v>788244237.63</v>
      </c>
      <c r="G21" s="16">
        <f t="shared" si="15"/>
        <v>0</v>
      </c>
      <c r="H21" s="16">
        <f t="shared" si="15"/>
        <v>2785787519.5600004</v>
      </c>
      <c r="I21" s="155">
        <f t="shared" si="9"/>
        <v>0.70716045914129455</v>
      </c>
      <c r="J21" s="16">
        <f t="shared" si="10"/>
        <v>3574031757.1900005</v>
      </c>
      <c r="K21" s="31">
        <f t="shared" si="11"/>
        <v>0.90725294756121222</v>
      </c>
      <c r="L21" s="16">
        <f t="shared" si="15"/>
        <v>365367686.80999994</v>
      </c>
      <c r="M21" s="18">
        <f t="shared" si="12"/>
        <v>0.90725294756121222</v>
      </c>
      <c r="N21" s="155">
        <f t="shared" si="13"/>
        <v>9.2747052438787905E-2</v>
      </c>
    </row>
    <row r="22" spans="2:15" ht="16.5" x14ac:dyDescent="0.25">
      <c r="B22" s="122" t="s">
        <v>20</v>
      </c>
      <c r="C22" s="16">
        <f>+C11-Estado!C183</f>
        <v>3702519877.1700001</v>
      </c>
      <c r="D22" s="16">
        <f>+D11-Estado!D183</f>
        <v>3702519877.1700001</v>
      </c>
      <c r="E22" s="16">
        <f>+E11-Estado!E183</f>
        <v>0</v>
      </c>
      <c r="F22" s="16">
        <f>+F11-Estado!G183</f>
        <v>77872794.379999995</v>
      </c>
      <c r="G22" s="16">
        <f>+G11-Estado!I183</f>
        <v>0</v>
      </c>
      <c r="H22" s="16">
        <f>+H11-Estado!K183</f>
        <v>3381435742.0899997</v>
      </c>
      <c r="I22" s="155">
        <f t="shared" si="9"/>
        <v>0.91327956480130523</v>
      </c>
      <c r="J22" s="16">
        <f t="shared" si="10"/>
        <v>3459308536.4699998</v>
      </c>
      <c r="K22" s="31">
        <f t="shared" si="11"/>
        <v>0.93431194192915512</v>
      </c>
      <c r="L22" s="16">
        <f>+L11-Estado!O183</f>
        <v>243211340.70000005</v>
      </c>
      <c r="M22" s="18">
        <f t="shared" si="12"/>
        <v>0.93431194192915512</v>
      </c>
      <c r="N22" s="155">
        <f t="shared" si="13"/>
        <v>6.5688058070844782E-2</v>
      </c>
    </row>
    <row r="23" spans="2:15" ht="16.5" x14ac:dyDescent="0.25">
      <c r="B23" s="122" t="s">
        <v>21</v>
      </c>
      <c r="C23" s="16">
        <f>+C12</f>
        <v>4742400000</v>
      </c>
      <c r="D23" s="16">
        <f t="shared" ref="D23:L23" si="16">+D12</f>
        <v>4742400000</v>
      </c>
      <c r="E23" s="16">
        <f t="shared" si="16"/>
        <v>0</v>
      </c>
      <c r="F23" s="16">
        <f t="shared" si="16"/>
        <v>0</v>
      </c>
      <c r="G23" s="16">
        <f t="shared" si="16"/>
        <v>0</v>
      </c>
      <c r="H23" s="16">
        <f t="shared" si="16"/>
        <v>4742400000</v>
      </c>
      <c r="I23" s="155">
        <f t="shared" si="9"/>
        <v>1</v>
      </c>
      <c r="J23" s="16">
        <f t="shared" si="10"/>
        <v>4742400000</v>
      </c>
      <c r="K23" s="31">
        <f t="shared" si="11"/>
        <v>1</v>
      </c>
      <c r="L23" s="16">
        <f t="shared" si="16"/>
        <v>0</v>
      </c>
      <c r="M23" s="18">
        <f t="shared" si="12"/>
        <v>1</v>
      </c>
      <c r="N23" s="155">
        <f t="shared" si="13"/>
        <v>0</v>
      </c>
    </row>
    <row r="24" spans="2:15" ht="16.5" x14ac:dyDescent="0.25">
      <c r="B24" s="122" t="s">
        <v>593</v>
      </c>
      <c r="C24" s="16">
        <f>+C13</f>
        <v>173212000</v>
      </c>
      <c r="D24" s="16">
        <f t="shared" ref="D24:L24" si="17">+D13</f>
        <v>173212000</v>
      </c>
      <c r="E24" s="16">
        <f t="shared" si="17"/>
        <v>0</v>
      </c>
      <c r="F24" s="16">
        <f t="shared" si="17"/>
        <v>0</v>
      </c>
      <c r="G24" s="16">
        <f t="shared" si="17"/>
        <v>0</v>
      </c>
      <c r="H24" s="16">
        <f t="shared" si="17"/>
        <v>0</v>
      </c>
      <c r="I24" s="155">
        <f t="shared" si="9"/>
        <v>0</v>
      </c>
      <c r="J24" s="16">
        <f t="shared" si="17"/>
        <v>0</v>
      </c>
      <c r="K24" s="31">
        <f t="shared" si="11"/>
        <v>0</v>
      </c>
      <c r="L24" s="16">
        <f t="shared" si="17"/>
        <v>173212000</v>
      </c>
      <c r="M24" s="18">
        <f t="shared" ref="M24" si="18">SUM(F24:H24)/C24</f>
        <v>0</v>
      </c>
      <c r="N24" s="155">
        <f t="shared" ref="N24" si="19">+L24/C24</f>
        <v>1</v>
      </c>
    </row>
    <row r="25" spans="2:15" ht="17.25" x14ac:dyDescent="0.25">
      <c r="B25" s="119" t="s">
        <v>15</v>
      </c>
      <c r="C25" s="120">
        <f t="shared" ref="C25:H25" si="20">SUM(C19:C24)</f>
        <v>134302218983</v>
      </c>
      <c r="D25" s="120">
        <f t="shared" si="20"/>
        <v>134296244482</v>
      </c>
      <c r="E25" s="120">
        <f t="shared" si="20"/>
        <v>0</v>
      </c>
      <c r="F25" s="120">
        <f t="shared" si="20"/>
        <v>3940029257.7200003</v>
      </c>
      <c r="G25" s="120">
        <f t="shared" si="20"/>
        <v>0</v>
      </c>
      <c r="H25" s="120">
        <f t="shared" si="20"/>
        <v>123842516565.66998</v>
      </c>
      <c r="I25" s="156">
        <f t="shared" si="9"/>
        <v>0.92211817126674578</v>
      </c>
      <c r="J25" s="120">
        <f>SUM(J19:J24)</f>
        <v>127782545823.39</v>
      </c>
      <c r="K25" s="146">
        <f t="shared" si="11"/>
        <v>0.95145520893861579</v>
      </c>
      <c r="L25" s="120">
        <f>SUM(L19:L24)</f>
        <v>6519673159.6099997</v>
      </c>
      <c r="M25" s="121">
        <f t="shared" si="12"/>
        <v>0.95145520893861568</v>
      </c>
      <c r="N25" s="156">
        <f t="shared" si="13"/>
        <v>4.8544791061384186E-2</v>
      </c>
    </row>
    <row r="27" spans="2:15" x14ac:dyDescent="0.25">
      <c r="B27" s="131">
        <f>+C23/C25</f>
        <v>3.5311404650732493E-2</v>
      </c>
      <c r="L27" s="131">
        <f>+L23/L25</f>
        <v>0</v>
      </c>
    </row>
    <row r="790" spans="3:3" x14ac:dyDescent="0.25">
      <c r="C790">
        <v>8500000068</v>
      </c>
    </row>
  </sheetData>
  <mergeCells count="18">
    <mergeCell ref="L5:L6"/>
    <mergeCell ref="M5:M6"/>
    <mergeCell ref="B1:N1"/>
    <mergeCell ref="B2:N2"/>
    <mergeCell ref="B3:N3"/>
    <mergeCell ref="N5:N6"/>
    <mergeCell ref="M17:M18"/>
    <mergeCell ref="N17:N18"/>
    <mergeCell ref="F17:H17"/>
    <mergeCell ref="B5:B6"/>
    <mergeCell ref="C5:C6"/>
    <mergeCell ref="D5:D6"/>
    <mergeCell ref="B17:B18"/>
    <mergeCell ref="C17:C18"/>
    <mergeCell ref="D17:D18"/>
    <mergeCell ref="E17:E18"/>
    <mergeCell ref="L17:L18"/>
    <mergeCell ref="E5:E6"/>
  </mergeCells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5"/>
  <sheetViews>
    <sheetView topLeftCell="A448" zoomScale="80" zoomScaleNormal="80" workbookViewId="0">
      <selection activeCell="A445" sqref="A445"/>
    </sheetView>
  </sheetViews>
  <sheetFormatPr baseColWidth="10" defaultColWidth="36.28515625" defaultRowHeight="15" x14ac:dyDescent="0.25"/>
  <cols>
    <col min="1" max="1" width="13" bestFit="1" customWidth="1"/>
    <col min="2" max="2" width="18.140625" customWidth="1"/>
    <col min="3" max="3" width="27" customWidth="1"/>
    <col min="4" max="4" width="6.5703125" bestFit="1" customWidth="1"/>
    <col min="5" max="5" width="18.7109375" bestFit="1" customWidth="1"/>
    <col min="6" max="7" width="18.5703125" bestFit="1" customWidth="1"/>
    <col min="8" max="8" width="17.42578125" bestFit="1" customWidth="1"/>
    <col min="9" max="9" width="18.5703125" bestFit="1" customWidth="1"/>
    <col min="10" max="10" width="20" bestFit="1" customWidth="1"/>
    <col min="11" max="12" width="18.5703125" bestFit="1" customWidth="1"/>
    <col min="13" max="13" width="21.5703125" bestFit="1" customWidth="1"/>
    <col min="14" max="14" width="18.5703125" bestFit="1" customWidth="1"/>
  </cols>
  <sheetData>
    <row r="1" spans="1:14" x14ac:dyDescent="0.25">
      <c r="A1" s="165" t="s">
        <v>561</v>
      </c>
      <c r="B1" s="165" t="s">
        <v>562</v>
      </c>
      <c r="C1" s="165" t="s">
        <v>91</v>
      </c>
      <c r="D1" s="165" t="s">
        <v>90</v>
      </c>
      <c r="E1" s="165" t="s">
        <v>563</v>
      </c>
      <c r="F1" s="165" t="s">
        <v>403</v>
      </c>
      <c r="G1" s="165" t="s">
        <v>551</v>
      </c>
      <c r="H1" s="165" t="s">
        <v>27</v>
      </c>
      <c r="I1" s="165" t="s">
        <v>29</v>
      </c>
      <c r="J1" s="165" t="s">
        <v>565</v>
      </c>
      <c r="K1" s="165" t="s">
        <v>33</v>
      </c>
      <c r="L1" s="165" t="s">
        <v>35</v>
      </c>
      <c r="M1" s="165" t="s">
        <v>550</v>
      </c>
      <c r="N1" s="165" t="s">
        <v>564</v>
      </c>
    </row>
    <row r="2" spans="1:14" s="161" customFormat="1" x14ac:dyDescent="0.25">
      <c r="A2" s="161" t="s">
        <v>552</v>
      </c>
      <c r="B2" s="161" t="s">
        <v>602</v>
      </c>
      <c r="C2" s="161" t="s">
        <v>602</v>
      </c>
      <c r="D2" s="161" t="s">
        <v>553</v>
      </c>
      <c r="E2" s="162">
        <v>138283902690</v>
      </c>
      <c r="F2" s="162">
        <v>134302218983</v>
      </c>
      <c r="G2" s="162">
        <v>134296244482</v>
      </c>
      <c r="H2" s="162">
        <v>0</v>
      </c>
      <c r="I2" s="162">
        <v>3940029257.7199998</v>
      </c>
      <c r="J2" s="162">
        <v>0</v>
      </c>
      <c r="K2" s="162">
        <v>123842516565.67</v>
      </c>
      <c r="L2" s="162">
        <v>118856946867.02</v>
      </c>
      <c r="M2" s="162">
        <v>6519673159.6099997</v>
      </c>
      <c r="N2" s="162">
        <v>6513698658.6099997</v>
      </c>
    </row>
    <row r="3" spans="1:14" s="161" customFormat="1" x14ac:dyDescent="0.25">
      <c r="A3" s="161">
        <v>214779</v>
      </c>
      <c r="B3" s="161" t="s">
        <v>602</v>
      </c>
      <c r="C3" s="161" t="s">
        <v>602</v>
      </c>
      <c r="D3" s="161" t="s">
        <v>553</v>
      </c>
      <c r="E3" s="162">
        <v>2837761000</v>
      </c>
      <c r="F3" s="162">
        <v>2608813216</v>
      </c>
      <c r="G3" s="162">
        <v>2608813216</v>
      </c>
      <c r="H3" s="162">
        <v>0</v>
      </c>
      <c r="I3" s="162">
        <v>36261843.689999998</v>
      </c>
      <c r="J3" s="162">
        <v>0</v>
      </c>
      <c r="K3" s="162">
        <v>2334886845.4299998</v>
      </c>
      <c r="L3" s="162">
        <v>2285270006.3699999</v>
      </c>
      <c r="M3" s="162">
        <v>237664526.88</v>
      </c>
      <c r="N3" s="162">
        <v>237664526.88</v>
      </c>
    </row>
    <row r="4" spans="1:14" s="161" customFormat="1" x14ac:dyDescent="0.25">
      <c r="A4" s="161" t="s">
        <v>554</v>
      </c>
      <c r="B4" s="161" t="s">
        <v>92</v>
      </c>
      <c r="C4" s="161" t="s">
        <v>93</v>
      </c>
      <c r="D4" s="161" t="s">
        <v>553</v>
      </c>
      <c r="E4" s="162">
        <v>1576957000</v>
      </c>
      <c r="F4" s="162">
        <v>1380844650</v>
      </c>
      <c r="G4" s="162">
        <v>1380844650</v>
      </c>
      <c r="H4" s="162">
        <v>0</v>
      </c>
      <c r="I4" s="162">
        <v>0</v>
      </c>
      <c r="J4" s="162">
        <v>0</v>
      </c>
      <c r="K4" s="162">
        <v>1253172385.3099999</v>
      </c>
      <c r="L4" s="162">
        <v>1253172385.3099999</v>
      </c>
      <c r="M4" s="162">
        <v>127672264.69</v>
      </c>
      <c r="N4" s="162">
        <v>127672264.69</v>
      </c>
    </row>
    <row r="5" spans="1:14" s="161" customFormat="1" x14ac:dyDescent="0.25">
      <c r="A5" s="161" t="s">
        <v>554</v>
      </c>
      <c r="B5" s="161" t="s">
        <v>94</v>
      </c>
      <c r="C5" s="161" t="s">
        <v>95</v>
      </c>
      <c r="D5" s="161" t="s">
        <v>553</v>
      </c>
      <c r="E5" s="162">
        <v>611601000</v>
      </c>
      <c r="F5" s="162">
        <v>561866650</v>
      </c>
      <c r="G5" s="162">
        <v>561866650</v>
      </c>
      <c r="H5" s="162">
        <v>0</v>
      </c>
      <c r="I5" s="162">
        <v>0</v>
      </c>
      <c r="J5" s="162">
        <v>0</v>
      </c>
      <c r="K5" s="162">
        <v>491925013.44999999</v>
      </c>
      <c r="L5" s="162">
        <v>491925013.44999999</v>
      </c>
      <c r="M5" s="162">
        <v>69941636.549999997</v>
      </c>
      <c r="N5" s="162">
        <v>69941636.549999997</v>
      </c>
    </row>
    <row r="6" spans="1:14" s="161" customFormat="1" x14ac:dyDescent="0.25">
      <c r="A6" s="161" t="s">
        <v>554</v>
      </c>
      <c r="B6" s="161" t="s">
        <v>96</v>
      </c>
      <c r="C6" s="161" t="s">
        <v>97</v>
      </c>
      <c r="D6" s="161" t="s">
        <v>553</v>
      </c>
      <c r="E6" s="162">
        <v>611601000</v>
      </c>
      <c r="F6" s="162">
        <v>561866650</v>
      </c>
      <c r="G6" s="162">
        <v>561866650</v>
      </c>
      <c r="H6" s="162">
        <v>0</v>
      </c>
      <c r="I6" s="162">
        <v>0</v>
      </c>
      <c r="J6" s="162">
        <v>0</v>
      </c>
      <c r="K6" s="162">
        <v>491925013.44999999</v>
      </c>
      <c r="L6" s="162">
        <v>491925013.44999999</v>
      </c>
      <c r="M6" s="162">
        <v>69941636.549999997</v>
      </c>
      <c r="N6" s="162">
        <v>69941636.549999997</v>
      </c>
    </row>
    <row r="7" spans="1:14" s="161" customFormat="1" x14ac:dyDescent="0.25">
      <c r="A7" s="161" t="s">
        <v>554</v>
      </c>
      <c r="B7" s="161" t="s">
        <v>102</v>
      </c>
      <c r="C7" s="161" t="s">
        <v>103</v>
      </c>
      <c r="D7" s="161" t="s">
        <v>553</v>
      </c>
      <c r="E7" s="162">
        <v>726302000</v>
      </c>
      <c r="F7" s="162">
        <v>604862000</v>
      </c>
      <c r="G7" s="162">
        <v>604862000</v>
      </c>
      <c r="H7" s="162">
        <v>0</v>
      </c>
      <c r="I7" s="162">
        <v>0</v>
      </c>
      <c r="J7" s="162">
        <v>0</v>
      </c>
      <c r="K7" s="162">
        <v>569988187.86000001</v>
      </c>
      <c r="L7" s="162">
        <v>569988187.86000001</v>
      </c>
      <c r="M7" s="162">
        <v>34873812.140000001</v>
      </c>
      <c r="N7" s="162">
        <v>34873812.140000001</v>
      </c>
    </row>
    <row r="8" spans="1:14" s="161" customFormat="1" x14ac:dyDescent="0.25">
      <c r="A8" s="161" t="s">
        <v>554</v>
      </c>
      <c r="B8" s="161" t="s">
        <v>104</v>
      </c>
      <c r="C8" s="161" t="s">
        <v>105</v>
      </c>
      <c r="D8" s="161" t="s">
        <v>553</v>
      </c>
      <c r="E8" s="162">
        <v>167585000</v>
      </c>
      <c r="F8" s="162">
        <v>123085000</v>
      </c>
      <c r="G8" s="162">
        <v>123085000</v>
      </c>
      <c r="H8" s="162">
        <v>0</v>
      </c>
      <c r="I8" s="162">
        <v>0</v>
      </c>
      <c r="J8" s="162">
        <v>0</v>
      </c>
      <c r="K8" s="162">
        <v>113626374.72</v>
      </c>
      <c r="L8" s="162">
        <v>113626374.72</v>
      </c>
      <c r="M8" s="162">
        <v>9458625.2799999993</v>
      </c>
      <c r="N8" s="162">
        <v>9458625.2799999993</v>
      </c>
    </row>
    <row r="9" spans="1:14" s="161" customFormat="1" x14ac:dyDescent="0.25">
      <c r="A9" s="161" t="s">
        <v>554</v>
      </c>
      <c r="B9" s="161" t="s">
        <v>106</v>
      </c>
      <c r="C9" s="161" t="s">
        <v>107</v>
      </c>
      <c r="D9" s="161" t="s">
        <v>553</v>
      </c>
      <c r="E9" s="162">
        <v>320119000</v>
      </c>
      <c r="F9" s="162">
        <v>264319000</v>
      </c>
      <c r="G9" s="162">
        <v>264319000</v>
      </c>
      <c r="H9" s="162">
        <v>0</v>
      </c>
      <c r="I9" s="162">
        <v>0</v>
      </c>
      <c r="J9" s="162">
        <v>0</v>
      </c>
      <c r="K9" s="162">
        <v>246796649.41</v>
      </c>
      <c r="L9" s="162">
        <v>246796649.41</v>
      </c>
      <c r="M9" s="162">
        <v>17522350.59</v>
      </c>
      <c r="N9" s="162">
        <v>17522350.59</v>
      </c>
    </row>
    <row r="10" spans="1:14" s="161" customFormat="1" x14ac:dyDescent="0.25">
      <c r="A10" s="161" t="s">
        <v>554</v>
      </c>
      <c r="B10" s="161" t="s">
        <v>108</v>
      </c>
      <c r="C10" s="161" t="s">
        <v>109</v>
      </c>
      <c r="D10" s="161" t="s">
        <v>553</v>
      </c>
      <c r="E10" s="162">
        <v>83553000</v>
      </c>
      <c r="F10" s="162">
        <v>85053000</v>
      </c>
      <c r="G10" s="162">
        <v>85053000</v>
      </c>
      <c r="H10" s="162">
        <v>0</v>
      </c>
      <c r="I10" s="162">
        <v>0</v>
      </c>
      <c r="J10" s="162">
        <v>0</v>
      </c>
      <c r="K10" s="162">
        <v>84044163.719999999</v>
      </c>
      <c r="L10" s="162">
        <v>84044163.719999999</v>
      </c>
      <c r="M10" s="162">
        <v>1008836.28</v>
      </c>
      <c r="N10" s="162">
        <v>1008836.28</v>
      </c>
    </row>
    <row r="11" spans="1:14" s="161" customFormat="1" x14ac:dyDescent="0.25">
      <c r="A11" s="161" t="s">
        <v>554</v>
      </c>
      <c r="B11" s="161" t="s">
        <v>110</v>
      </c>
      <c r="C11" s="161" t="s">
        <v>111</v>
      </c>
      <c r="D11" s="161" t="s">
        <v>553</v>
      </c>
      <c r="E11" s="162">
        <v>53833000</v>
      </c>
      <c r="F11" s="162">
        <v>44833000</v>
      </c>
      <c r="G11" s="162">
        <v>44833000</v>
      </c>
      <c r="H11" s="162">
        <v>0</v>
      </c>
      <c r="I11" s="162">
        <v>0</v>
      </c>
      <c r="J11" s="162">
        <v>0</v>
      </c>
      <c r="K11" s="162">
        <v>41485882.520000003</v>
      </c>
      <c r="L11" s="162">
        <v>41485882.520000003</v>
      </c>
      <c r="M11" s="162">
        <v>3347117.48</v>
      </c>
      <c r="N11" s="162">
        <v>3347117.48</v>
      </c>
    </row>
    <row r="12" spans="1:14" s="161" customFormat="1" x14ac:dyDescent="0.25">
      <c r="A12" s="161" t="s">
        <v>554</v>
      </c>
      <c r="B12" s="161" t="s">
        <v>112</v>
      </c>
      <c r="C12" s="161" t="s">
        <v>113</v>
      </c>
      <c r="D12" s="161" t="s">
        <v>555</v>
      </c>
      <c r="E12" s="162">
        <v>101212000</v>
      </c>
      <c r="F12" s="162">
        <v>87572000</v>
      </c>
      <c r="G12" s="162">
        <v>87572000</v>
      </c>
      <c r="H12" s="162">
        <v>0</v>
      </c>
      <c r="I12" s="162">
        <v>0</v>
      </c>
      <c r="J12" s="162">
        <v>0</v>
      </c>
      <c r="K12" s="162">
        <v>84035117.489999995</v>
      </c>
      <c r="L12" s="162">
        <v>84035117.489999995</v>
      </c>
      <c r="M12" s="162">
        <v>3536882.51</v>
      </c>
      <c r="N12" s="162">
        <v>3536882.51</v>
      </c>
    </row>
    <row r="13" spans="1:14" s="161" customFormat="1" x14ac:dyDescent="0.25">
      <c r="A13" s="161" t="s">
        <v>554</v>
      </c>
      <c r="B13" s="161" t="s">
        <v>114</v>
      </c>
      <c r="C13" s="161" t="s">
        <v>115</v>
      </c>
      <c r="D13" s="161" t="s">
        <v>553</v>
      </c>
      <c r="E13" s="162">
        <v>120578000</v>
      </c>
      <c r="F13" s="162">
        <v>107930000</v>
      </c>
      <c r="G13" s="162">
        <v>107930000</v>
      </c>
      <c r="H13" s="162">
        <v>0</v>
      </c>
      <c r="I13" s="162">
        <v>0</v>
      </c>
      <c r="J13" s="162">
        <v>0</v>
      </c>
      <c r="K13" s="162">
        <v>96470600</v>
      </c>
      <c r="L13" s="162">
        <v>96470600</v>
      </c>
      <c r="M13" s="162">
        <v>11459400</v>
      </c>
      <c r="N13" s="162">
        <v>11459400</v>
      </c>
    </row>
    <row r="14" spans="1:14" s="161" customFormat="1" x14ac:dyDescent="0.25">
      <c r="A14" s="161" t="s">
        <v>554</v>
      </c>
      <c r="B14" s="161" t="s">
        <v>116</v>
      </c>
      <c r="C14" s="161" t="s">
        <v>578</v>
      </c>
      <c r="D14" s="161" t="s">
        <v>553</v>
      </c>
      <c r="E14" s="162">
        <v>114394000</v>
      </c>
      <c r="F14" s="162">
        <v>102394000</v>
      </c>
      <c r="G14" s="162">
        <v>102394000</v>
      </c>
      <c r="H14" s="162">
        <v>0</v>
      </c>
      <c r="I14" s="162">
        <v>0</v>
      </c>
      <c r="J14" s="162">
        <v>0</v>
      </c>
      <c r="K14" s="162">
        <v>91523398</v>
      </c>
      <c r="L14" s="162">
        <v>91523398</v>
      </c>
      <c r="M14" s="162">
        <v>10870602</v>
      </c>
      <c r="N14" s="162">
        <v>10870602</v>
      </c>
    </row>
    <row r="15" spans="1:14" s="161" customFormat="1" x14ac:dyDescent="0.25">
      <c r="A15" s="161" t="s">
        <v>554</v>
      </c>
      <c r="B15" s="161" t="s">
        <v>117</v>
      </c>
      <c r="C15" s="161" t="s">
        <v>596</v>
      </c>
      <c r="D15" s="161" t="s">
        <v>553</v>
      </c>
      <c r="E15" s="162">
        <v>6184000</v>
      </c>
      <c r="F15" s="162">
        <v>5536000</v>
      </c>
      <c r="G15" s="162">
        <v>5536000</v>
      </c>
      <c r="H15" s="162">
        <v>0</v>
      </c>
      <c r="I15" s="162">
        <v>0</v>
      </c>
      <c r="J15" s="162">
        <v>0</v>
      </c>
      <c r="K15" s="162">
        <v>4947202</v>
      </c>
      <c r="L15" s="162">
        <v>4947202</v>
      </c>
      <c r="M15" s="162">
        <v>588798</v>
      </c>
      <c r="N15" s="162">
        <v>588798</v>
      </c>
    </row>
    <row r="16" spans="1:14" s="161" customFormat="1" x14ac:dyDescent="0.25">
      <c r="A16" s="161" t="s">
        <v>554</v>
      </c>
      <c r="B16" s="161" t="s">
        <v>118</v>
      </c>
      <c r="C16" s="161" t="s">
        <v>119</v>
      </c>
      <c r="D16" s="161" t="s">
        <v>553</v>
      </c>
      <c r="E16" s="162">
        <v>118476000</v>
      </c>
      <c r="F16" s="162">
        <v>106186000</v>
      </c>
      <c r="G16" s="162">
        <v>106186000</v>
      </c>
      <c r="H16" s="162">
        <v>0</v>
      </c>
      <c r="I16" s="162">
        <v>0</v>
      </c>
      <c r="J16" s="162">
        <v>0</v>
      </c>
      <c r="K16" s="162">
        <v>94788584</v>
      </c>
      <c r="L16" s="162">
        <v>94788584</v>
      </c>
      <c r="M16" s="162">
        <v>11397416</v>
      </c>
      <c r="N16" s="162">
        <v>11397416</v>
      </c>
    </row>
    <row r="17" spans="1:14" s="161" customFormat="1" x14ac:dyDescent="0.25">
      <c r="A17" s="161" t="s">
        <v>554</v>
      </c>
      <c r="B17" s="161" t="s">
        <v>120</v>
      </c>
      <c r="C17" s="161" t="s">
        <v>121</v>
      </c>
      <c r="D17" s="161" t="s">
        <v>553</v>
      </c>
      <c r="E17" s="162">
        <v>62824000</v>
      </c>
      <c r="F17" s="162">
        <v>56274000</v>
      </c>
      <c r="G17" s="162">
        <v>56274000</v>
      </c>
      <c r="H17" s="162">
        <v>0</v>
      </c>
      <c r="I17" s="162">
        <v>0</v>
      </c>
      <c r="J17" s="162">
        <v>0</v>
      </c>
      <c r="K17" s="162">
        <v>50263662</v>
      </c>
      <c r="L17" s="162">
        <v>50263662</v>
      </c>
      <c r="M17" s="162">
        <v>6010338</v>
      </c>
      <c r="N17" s="162">
        <v>6010338</v>
      </c>
    </row>
    <row r="18" spans="1:14" s="161" customFormat="1" x14ac:dyDescent="0.25">
      <c r="A18" s="161" t="s">
        <v>554</v>
      </c>
      <c r="B18" s="161" t="s">
        <v>122</v>
      </c>
      <c r="C18" s="161" t="s">
        <v>123</v>
      </c>
      <c r="D18" s="161" t="s">
        <v>553</v>
      </c>
      <c r="E18" s="162">
        <v>18551000</v>
      </c>
      <c r="F18" s="162">
        <v>16641000</v>
      </c>
      <c r="G18" s="162">
        <v>16641000</v>
      </c>
      <c r="H18" s="162">
        <v>0</v>
      </c>
      <c r="I18" s="162">
        <v>0</v>
      </c>
      <c r="J18" s="162">
        <v>0</v>
      </c>
      <c r="K18" s="162">
        <v>14841656</v>
      </c>
      <c r="L18" s="162">
        <v>14841656</v>
      </c>
      <c r="M18" s="162">
        <v>1799344</v>
      </c>
      <c r="N18" s="162">
        <v>1799344</v>
      </c>
    </row>
    <row r="19" spans="1:14" s="161" customFormat="1" x14ac:dyDescent="0.25">
      <c r="A19" s="161" t="s">
        <v>554</v>
      </c>
      <c r="B19" s="161" t="s">
        <v>124</v>
      </c>
      <c r="C19" s="161" t="s">
        <v>125</v>
      </c>
      <c r="D19" s="161" t="s">
        <v>553</v>
      </c>
      <c r="E19" s="162">
        <v>37101000</v>
      </c>
      <c r="F19" s="162">
        <v>33271000</v>
      </c>
      <c r="G19" s="162">
        <v>33271000</v>
      </c>
      <c r="H19" s="162">
        <v>0</v>
      </c>
      <c r="I19" s="162">
        <v>0</v>
      </c>
      <c r="J19" s="162">
        <v>0</v>
      </c>
      <c r="K19" s="162">
        <v>29683266</v>
      </c>
      <c r="L19" s="162">
        <v>29683266</v>
      </c>
      <c r="M19" s="162">
        <v>3587734</v>
      </c>
      <c r="N19" s="162">
        <v>3587734</v>
      </c>
    </row>
    <row r="20" spans="1:14" s="161" customFormat="1" x14ac:dyDescent="0.25">
      <c r="A20" s="161" t="s">
        <v>554</v>
      </c>
      <c r="B20" s="161" t="s">
        <v>126</v>
      </c>
      <c r="C20" s="161" t="s">
        <v>127</v>
      </c>
      <c r="D20" s="161" t="s">
        <v>553</v>
      </c>
      <c r="E20" s="162">
        <v>428982000</v>
      </c>
      <c r="F20" s="162">
        <v>395995580</v>
      </c>
      <c r="G20" s="162">
        <v>395995580</v>
      </c>
      <c r="H20" s="162">
        <v>0</v>
      </c>
      <c r="I20" s="162">
        <v>34616931.890000001</v>
      </c>
      <c r="J20" s="162">
        <v>0</v>
      </c>
      <c r="K20" s="162">
        <v>316936556.88</v>
      </c>
      <c r="L20" s="162">
        <v>268601795.60000002</v>
      </c>
      <c r="M20" s="162">
        <v>44442091.229999997</v>
      </c>
      <c r="N20" s="162">
        <v>44442091.229999997</v>
      </c>
    </row>
    <row r="21" spans="1:14" s="161" customFormat="1" x14ac:dyDescent="0.25">
      <c r="A21" s="161" t="s">
        <v>554</v>
      </c>
      <c r="B21" s="161" t="s">
        <v>128</v>
      </c>
      <c r="C21" s="161" t="s">
        <v>129</v>
      </c>
      <c r="D21" s="161" t="s">
        <v>553</v>
      </c>
      <c r="E21" s="162">
        <v>155080000</v>
      </c>
      <c r="F21" s="162">
        <v>148786375</v>
      </c>
      <c r="G21" s="162">
        <v>148786375</v>
      </c>
      <c r="H21" s="162">
        <v>0</v>
      </c>
      <c r="I21" s="162">
        <v>10056255.789999999</v>
      </c>
      <c r="J21" s="162">
        <v>0</v>
      </c>
      <c r="K21" s="162">
        <v>128132648.91</v>
      </c>
      <c r="L21" s="162">
        <v>101233318.33</v>
      </c>
      <c r="M21" s="162">
        <v>10597470.300000001</v>
      </c>
      <c r="N21" s="162">
        <v>10597470.300000001</v>
      </c>
    </row>
    <row r="22" spans="1:14" s="161" customFormat="1" x14ac:dyDescent="0.25">
      <c r="A22" s="161" t="s">
        <v>554</v>
      </c>
      <c r="B22" s="161" t="s">
        <v>130</v>
      </c>
      <c r="C22" s="161" t="s">
        <v>131</v>
      </c>
      <c r="D22" s="161" t="s">
        <v>553</v>
      </c>
      <c r="E22" s="162">
        <v>155000000</v>
      </c>
      <c r="F22" s="162">
        <v>148715000</v>
      </c>
      <c r="G22" s="162">
        <v>148715000</v>
      </c>
      <c r="H22" s="162">
        <v>0</v>
      </c>
      <c r="I22" s="162">
        <v>10056255.789999999</v>
      </c>
      <c r="J22" s="162">
        <v>0</v>
      </c>
      <c r="K22" s="162">
        <v>128061273.91</v>
      </c>
      <c r="L22" s="162">
        <v>101161943.33</v>
      </c>
      <c r="M22" s="162">
        <v>10597470.300000001</v>
      </c>
      <c r="N22" s="162">
        <v>10597470.300000001</v>
      </c>
    </row>
    <row r="23" spans="1:14" s="161" customFormat="1" x14ac:dyDescent="0.25">
      <c r="A23" s="161" t="s">
        <v>554</v>
      </c>
      <c r="B23" s="161" t="s">
        <v>132</v>
      </c>
      <c r="C23" s="161" t="s">
        <v>133</v>
      </c>
      <c r="D23" s="161" t="s">
        <v>553</v>
      </c>
      <c r="E23" s="162">
        <v>80000</v>
      </c>
      <c r="F23" s="162">
        <v>71375</v>
      </c>
      <c r="G23" s="162">
        <v>71375</v>
      </c>
      <c r="H23" s="162">
        <v>0</v>
      </c>
      <c r="I23" s="162">
        <v>0</v>
      </c>
      <c r="J23" s="162">
        <v>0</v>
      </c>
      <c r="K23" s="162">
        <v>71375</v>
      </c>
      <c r="L23" s="162">
        <v>71375</v>
      </c>
      <c r="M23" s="162">
        <v>0</v>
      </c>
      <c r="N23" s="162">
        <v>0</v>
      </c>
    </row>
    <row r="24" spans="1:14" s="161" customFormat="1" x14ac:dyDescent="0.25">
      <c r="A24" s="161" t="s">
        <v>554</v>
      </c>
      <c r="B24" s="161" t="s">
        <v>134</v>
      </c>
      <c r="C24" s="161" t="s">
        <v>135</v>
      </c>
      <c r="D24" s="161" t="s">
        <v>553</v>
      </c>
      <c r="E24" s="162">
        <v>148625000</v>
      </c>
      <c r="F24" s="162">
        <v>148375200</v>
      </c>
      <c r="G24" s="162">
        <v>148375200</v>
      </c>
      <c r="H24" s="162">
        <v>0</v>
      </c>
      <c r="I24" s="162">
        <v>18942284.09</v>
      </c>
      <c r="J24" s="162">
        <v>0</v>
      </c>
      <c r="K24" s="162">
        <v>116012315.91</v>
      </c>
      <c r="L24" s="162">
        <v>106548934</v>
      </c>
      <c r="M24" s="162">
        <v>13420600</v>
      </c>
      <c r="N24" s="162">
        <v>13420600</v>
      </c>
    </row>
    <row r="25" spans="1:14" s="161" customFormat="1" x14ac:dyDescent="0.25">
      <c r="A25" s="161" t="s">
        <v>554</v>
      </c>
      <c r="B25" s="161" t="s">
        <v>136</v>
      </c>
      <c r="C25" s="161" t="s">
        <v>137</v>
      </c>
      <c r="D25" s="161" t="s">
        <v>553</v>
      </c>
      <c r="E25" s="162">
        <v>6000000</v>
      </c>
      <c r="F25" s="162">
        <v>6000000</v>
      </c>
      <c r="G25" s="162">
        <v>6000000</v>
      </c>
      <c r="H25" s="162">
        <v>0</v>
      </c>
      <c r="I25" s="162">
        <v>697844</v>
      </c>
      <c r="J25" s="162">
        <v>0</v>
      </c>
      <c r="K25" s="162">
        <v>5302156</v>
      </c>
      <c r="L25" s="162">
        <v>5302156</v>
      </c>
      <c r="M25" s="162">
        <v>0</v>
      </c>
      <c r="N25" s="162">
        <v>0</v>
      </c>
    </row>
    <row r="26" spans="1:14" s="161" customFormat="1" x14ac:dyDescent="0.25">
      <c r="A26" s="161" t="s">
        <v>554</v>
      </c>
      <c r="B26" s="161" t="s">
        <v>138</v>
      </c>
      <c r="C26" s="161" t="s">
        <v>139</v>
      </c>
      <c r="D26" s="161" t="s">
        <v>553</v>
      </c>
      <c r="E26" s="162">
        <v>62000000</v>
      </c>
      <c r="F26" s="162">
        <v>62000000</v>
      </c>
      <c r="G26" s="162">
        <v>62000000</v>
      </c>
      <c r="H26" s="162">
        <v>0</v>
      </c>
      <c r="I26" s="162">
        <v>6157930</v>
      </c>
      <c r="J26" s="162">
        <v>0</v>
      </c>
      <c r="K26" s="162">
        <v>49342070</v>
      </c>
      <c r="L26" s="162">
        <v>45333545</v>
      </c>
      <c r="M26" s="162">
        <v>6500000</v>
      </c>
      <c r="N26" s="162">
        <v>6500000</v>
      </c>
    </row>
    <row r="27" spans="1:14" s="161" customFormat="1" x14ac:dyDescent="0.25">
      <c r="A27" s="161" t="s">
        <v>554</v>
      </c>
      <c r="B27" s="161" t="s">
        <v>140</v>
      </c>
      <c r="C27" s="161" t="s">
        <v>141</v>
      </c>
      <c r="D27" s="161" t="s">
        <v>553</v>
      </c>
      <c r="E27" s="162">
        <v>25000</v>
      </c>
      <c r="F27" s="162">
        <v>25000</v>
      </c>
      <c r="G27" s="162">
        <v>25000</v>
      </c>
      <c r="H27" s="162">
        <v>0</v>
      </c>
      <c r="I27" s="162">
        <v>0</v>
      </c>
      <c r="J27" s="162">
        <v>0</v>
      </c>
      <c r="K27" s="162">
        <v>16000</v>
      </c>
      <c r="L27" s="162">
        <v>16000</v>
      </c>
      <c r="M27" s="162">
        <v>9000</v>
      </c>
      <c r="N27" s="162">
        <v>9000</v>
      </c>
    </row>
    <row r="28" spans="1:14" s="161" customFormat="1" x14ac:dyDescent="0.25">
      <c r="A28" s="161" t="s">
        <v>554</v>
      </c>
      <c r="B28" s="161" t="s">
        <v>142</v>
      </c>
      <c r="C28" s="161" t="s">
        <v>143</v>
      </c>
      <c r="D28" s="161" t="s">
        <v>553</v>
      </c>
      <c r="E28" s="162">
        <v>80000000</v>
      </c>
      <c r="F28" s="162">
        <v>80000000</v>
      </c>
      <c r="G28" s="162">
        <v>80000000</v>
      </c>
      <c r="H28" s="162">
        <v>0</v>
      </c>
      <c r="I28" s="162">
        <v>12056510.09</v>
      </c>
      <c r="J28" s="162">
        <v>0</v>
      </c>
      <c r="K28" s="162">
        <v>61296489.909999996</v>
      </c>
      <c r="L28" s="162">
        <v>55841633</v>
      </c>
      <c r="M28" s="162">
        <v>6647000</v>
      </c>
      <c r="N28" s="162">
        <v>6647000</v>
      </c>
    </row>
    <row r="29" spans="1:14" s="161" customFormat="1" x14ac:dyDescent="0.25">
      <c r="A29" s="161" t="s">
        <v>554</v>
      </c>
      <c r="B29" s="161" t="s">
        <v>144</v>
      </c>
      <c r="C29" s="161" t="s">
        <v>145</v>
      </c>
      <c r="D29" s="161" t="s">
        <v>553</v>
      </c>
      <c r="E29" s="162">
        <v>600000</v>
      </c>
      <c r="F29" s="162">
        <v>350200</v>
      </c>
      <c r="G29" s="162">
        <v>350200</v>
      </c>
      <c r="H29" s="162">
        <v>0</v>
      </c>
      <c r="I29" s="162">
        <v>30000</v>
      </c>
      <c r="J29" s="162">
        <v>0</v>
      </c>
      <c r="K29" s="162">
        <v>55600</v>
      </c>
      <c r="L29" s="162">
        <v>55600</v>
      </c>
      <c r="M29" s="162">
        <v>264600</v>
      </c>
      <c r="N29" s="162">
        <v>264600</v>
      </c>
    </row>
    <row r="30" spans="1:14" s="161" customFormat="1" x14ac:dyDescent="0.25">
      <c r="A30" s="161" t="s">
        <v>554</v>
      </c>
      <c r="B30" s="161" t="s">
        <v>146</v>
      </c>
      <c r="C30" s="161" t="s">
        <v>147</v>
      </c>
      <c r="D30" s="161" t="s">
        <v>553</v>
      </c>
      <c r="E30" s="162">
        <v>10550000</v>
      </c>
      <c r="F30" s="162">
        <v>12994120</v>
      </c>
      <c r="G30" s="162">
        <v>12994120</v>
      </c>
      <c r="H30" s="162">
        <v>0</v>
      </c>
      <c r="I30" s="162">
        <v>204761</v>
      </c>
      <c r="J30" s="162">
        <v>0</v>
      </c>
      <c r="K30" s="162">
        <v>12386564</v>
      </c>
      <c r="L30" s="162">
        <v>11076014</v>
      </c>
      <c r="M30" s="162">
        <v>402795</v>
      </c>
      <c r="N30" s="162">
        <v>402795</v>
      </c>
    </row>
    <row r="31" spans="1:14" s="161" customFormat="1" x14ac:dyDescent="0.25">
      <c r="A31" s="161" t="s">
        <v>554</v>
      </c>
      <c r="B31" s="161" t="s">
        <v>148</v>
      </c>
      <c r="C31" s="161" t="s">
        <v>149</v>
      </c>
      <c r="D31" s="161" t="s">
        <v>553</v>
      </c>
      <c r="E31" s="162">
        <v>8000000</v>
      </c>
      <c r="F31" s="162">
        <v>10444120</v>
      </c>
      <c r="G31" s="162">
        <v>10444120</v>
      </c>
      <c r="H31" s="162">
        <v>0</v>
      </c>
      <c r="I31" s="162">
        <v>198761</v>
      </c>
      <c r="J31" s="162">
        <v>0</v>
      </c>
      <c r="K31" s="162">
        <v>10112390</v>
      </c>
      <c r="L31" s="162">
        <v>9787020</v>
      </c>
      <c r="M31" s="162">
        <v>132969</v>
      </c>
      <c r="N31" s="162">
        <v>132969</v>
      </c>
    </row>
    <row r="32" spans="1:14" s="161" customFormat="1" x14ac:dyDescent="0.25">
      <c r="A32" s="161" t="s">
        <v>554</v>
      </c>
      <c r="B32" s="161" t="s">
        <v>150</v>
      </c>
      <c r="C32" s="161" t="s">
        <v>151</v>
      </c>
      <c r="D32" s="161" t="s">
        <v>553</v>
      </c>
      <c r="E32" s="162">
        <v>2500000</v>
      </c>
      <c r="F32" s="162">
        <v>2500000</v>
      </c>
      <c r="G32" s="162">
        <v>2500000</v>
      </c>
      <c r="H32" s="162">
        <v>0</v>
      </c>
      <c r="I32" s="162">
        <v>6000</v>
      </c>
      <c r="J32" s="162">
        <v>0</v>
      </c>
      <c r="K32" s="162">
        <v>2266180</v>
      </c>
      <c r="L32" s="162">
        <v>1281000</v>
      </c>
      <c r="M32" s="162">
        <v>227820</v>
      </c>
      <c r="N32" s="162">
        <v>227820</v>
      </c>
    </row>
    <row r="33" spans="1:14" s="161" customFormat="1" x14ac:dyDescent="0.25">
      <c r="A33" s="161" t="s">
        <v>554</v>
      </c>
      <c r="B33" s="161" t="s">
        <v>152</v>
      </c>
      <c r="C33" s="161" t="s">
        <v>153</v>
      </c>
      <c r="D33" s="161" t="s">
        <v>553</v>
      </c>
      <c r="E33" s="162">
        <v>50000</v>
      </c>
      <c r="F33" s="162">
        <v>50000</v>
      </c>
      <c r="G33" s="162">
        <v>50000</v>
      </c>
      <c r="H33" s="162">
        <v>0</v>
      </c>
      <c r="I33" s="162">
        <v>0</v>
      </c>
      <c r="J33" s="162">
        <v>0</v>
      </c>
      <c r="K33" s="162">
        <v>7994</v>
      </c>
      <c r="L33" s="162">
        <v>7994</v>
      </c>
      <c r="M33" s="162">
        <v>42006</v>
      </c>
      <c r="N33" s="162">
        <v>42006</v>
      </c>
    </row>
    <row r="34" spans="1:14" s="161" customFormat="1" x14ac:dyDescent="0.25">
      <c r="A34" s="161" t="s">
        <v>554</v>
      </c>
      <c r="B34" s="161" t="s">
        <v>154</v>
      </c>
      <c r="C34" s="161" t="s">
        <v>155</v>
      </c>
      <c r="D34" s="161" t="s">
        <v>553</v>
      </c>
      <c r="E34" s="162">
        <v>8740000</v>
      </c>
      <c r="F34" s="162">
        <v>4240000</v>
      </c>
      <c r="G34" s="162">
        <v>4240000</v>
      </c>
      <c r="H34" s="162">
        <v>0</v>
      </c>
      <c r="I34" s="162">
        <v>625950</v>
      </c>
      <c r="J34" s="162">
        <v>0</v>
      </c>
      <c r="K34" s="162">
        <v>1308946</v>
      </c>
      <c r="L34" s="162">
        <v>1308946</v>
      </c>
      <c r="M34" s="162">
        <v>2305104</v>
      </c>
      <c r="N34" s="162">
        <v>2305104</v>
      </c>
    </row>
    <row r="35" spans="1:14" s="161" customFormat="1" x14ac:dyDescent="0.25">
      <c r="A35" s="161" t="s">
        <v>554</v>
      </c>
      <c r="B35" s="161" t="s">
        <v>157</v>
      </c>
      <c r="C35" s="161" t="s">
        <v>158</v>
      </c>
      <c r="D35" s="161" t="s">
        <v>553</v>
      </c>
      <c r="E35" s="162">
        <v>1000000</v>
      </c>
      <c r="F35" s="162">
        <v>1000000</v>
      </c>
      <c r="G35" s="162">
        <v>1000000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1000000</v>
      </c>
      <c r="N35" s="162">
        <v>1000000</v>
      </c>
    </row>
    <row r="36" spans="1:14" s="161" customFormat="1" x14ac:dyDescent="0.25">
      <c r="A36" s="161" t="s">
        <v>554</v>
      </c>
      <c r="B36" s="161" t="s">
        <v>159</v>
      </c>
      <c r="C36" s="161" t="s">
        <v>160</v>
      </c>
      <c r="D36" s="161" t="s">
        <v>553</v>
      </c>
      <c r="E36" s="162">
        <v>7740000</v>
      </c>
      <c r="F36" s="162">
        <v>3240000</v>
      </c>
      <c r="G36" s="162">
        <v>3240000</v>
      </c>
      <c r="H36" s="162">
        <v>0</v>
      </c>
      <c r="I36" s="162">
        <v>625950</v>
      </c>
      <c r="J36" s="162">
        <v>0</v>
      </c>
      <c r="K36" s="162">
        <v>1308946</v>
      </c>
      <c r="L36" s="162">
        <v>1308946</v>
      </c>
      <c r="M36" s="162">
        <v>1305104</v>
      </c>
      <c r="N36" s="162">
        <v>1305104</v>
      </c>
    </row>
    <row r="37" spans="1:14" s="161" customFormat="1" x14ac:dyDescent="0.25">
      <c r="A37" s="161" t="s">
        <v>554</v>
      </c>
      <c r="B37" s="161" t="s">
        <v>161</v>
      </c>
      <c r="C37" s="161" t="s">
        <v>162</v>
      </c>
      <c r="D37" s="161" t="s">
        <v>553</v>
      </c>
      <c r="E37" s="162">
        <v>25100000</v>
      </c>
      <c r="F37" s="162">
        <v>21340885</v>
      </c>
      <c r="G37" s="162">
        <v>21340885</v>
      </c>
      <c r="H37" s="162">
        <v>0</v>
      </c>
      <c r="I37" s="162">
        <v>949857.01</v>
      </c>
      <c r="J37" s="162">
        <v>0</v>
      </c>
      <c r="K37" s="162">
        <v>14648062.699999999</v>
      </c>
      <c r="L37" s="162">
        <v>14648062.699999999</v>
      </c>
      <c r="M37" s="162">
        <v>5742965.29</v>
      </c>
      <c r="N37" s="162">
        <v>5742965.29</v>
      </c>
    </row>
    <row r="38" spans="1:14" s="161" customFormat="1" x14ac:dyDescent="0.25">
      <c r="A38" s="161" t="s">
        <v>554</v>
      </c>
      <c r="B38" s="161" t="s">
        <v>163</v>
      </c>
      <c r="C38" s="161" t="s">
        <v>164</v>
      </c>
      <c r="D38" s="161" t="s">
        <v>553</v>
      </c>
      <c r="E38" s="162">
        <v>100000</v>
      </c>
      <c r="F38" s="162">
        <v>100000</v>
      </c>
      <c r="G38" s="162">
        <v>100000</v>
      </c>
      <c r="H38" s="162">
        <v>0</v>
      </c>
      <c r="I38" s="162">
        <v>0</v>
      </c>
      <c r="J38" s="162">
        <v>0</v>
      </c>
      <c r="K38" s="162">
        <v>44110</v>
      </c>
      <c r="L38" s="162">
        <v>44110</v>
      </c>
      <c r="M38" s="162">
        <v>55890</v>
      </c>
      <c r="N38" s="162">
        <v>55890</v>
      </c>
    </row>
    <row r="39" spans="1:14" s="161" customFormat="1" x14ac:dyDescent="0.25">
      <c r="A39" s="161" t="s">
        <v>554</v>
      </c>
      <c r="B39" s="161" t="s">
        <v>165</v>
      </c>
      <c r="C39" s="161" t="s">
        <v>166</v>
      </c>
      <c r="D39" s="161" t="s">
        <v>553</v>
      </c>
      <c r="E39" s="162">
        <v>10000000</v>
      </c>
      <c r="F39" s="162">
        <v>7454100</v>
      </c>
      <c r="G39" s="162">
        <v>7454100</v>
      </c>
      <c r="H39" s="162">
        <v>0</v>
      </c>
      <c r="I39" s="162">
        <v>228200</v>
      </c>
      <c r="J39" s="162">
        <v>0</v>
      </c>
      <c r="K39" s="162">
        <v>6000650</v>
      </c>
      <c r="L39" s="162">
        <v>6000650</v>
      </c>
      <c r="M39" s="162">
        <v>1225250</v>
      </c>
      <c r="N39" s="162">
        <v>1225250</v>
      </c>
    </row>
    <row r="40" spans="1:14" s="161" customFormat="1" x14ac:dyDescent="0.25">
      <c r="A40" s="161" t="s">
        <v>554</v>
      </c>
      <c r="B40" s="161" t="s">
        <v>167</v>
      </c>
      <c r="C40" s="161" t="s">
        <v>168</v>
      </c>
      <c r="D40" s="161" t="s">
        <v>553</v>
      </c>
      <c r="E40" s="162">
        <v>7000000</v>
      </c>
      <c r="F40" s="162">
        <v>6248313</v>
      </c>
      <c r="G40" s="162">
        <v>6248313</v>
      </c>
      <c r="H40" s="162">
        <v>0</v>
      </c>
      <c r="I40" s="162">
        <v>147093</v>
      </c>
      <c r="J40" s="162">
        <v>0</v>
      </c>
      <c r="K40" s="162">
        <v>4064778.21</v>
      </c>
      <c r="L40" s="162">
        <v>4064778.21</v>
      </c>
      <c r="M40" s="162">
        <v>2036441.79</v>
      </c>
      <c r="N40" s="162">
        <v>2036441.79</v>
      </c>
    </row>
    <row r="41" spans="1:14" s="161" customFormat="1" x14ac:dyDescent="0.25">
      <c r="A41" s="161" t="s">
        <v>554</v>
      </c>
      <c r="B41" s="161" t="s">
        <v>169</v>
      </c>
      <c r="C41" s="161" t="s">
        <v>170</v>
      </c>
      <c r="D41" s="161" t="s">
        <v>553</v>
      </c>
      <c r="E41" s="162">
        <v>8000000</v>
      </c>
      <c r="F41" s="162">
        <v>7538472</v>
      </c>
      <c r="G41" s="162">
        <v>7538472</v>
      </c>
      <c r="H41" s="162">
        <v>0</v>
      </c>
      <c r="I41" s="162">
        <v>574564.01</v>
      </c>
      <c r="J41" s="162">
        <v>0</v>
      </c>
      <c r="K41" s="162">
        <v>4538524.49</v>
      </c>
      <c r="L41" s="162">
        <v>4538524.49</v>
      </c>
      <c r="M41" s="162">
        <v>2425383.5</v>
      </c>
      <c r="N41" s="162">
        <v>2425383.5</v>
      </c>
    </row>
    <row r="42" spans="1:14" s="161" customFormat="1" x14ac:dyDescent="0.25">
      <c r="A42" s="161" t="s">
        <v>554</v>
      </c>
      <c r="B42" s="161" t="s">
        <v>171</v>
      </c>
      <c r="C42" s="161" t="s">
        <v>172</v>
      </c>
      <c r="D42" s="161" t="s">
        <v>553</v>
      </c>
      <c r="E42" s="162">
        <v>48000000</v>
      </c>
      <c r="F42" s="162">
        <v>28000000</v>
      </c>
      <c r="G42" s="162">
        <v>28000000</v>
      </c>
      <c r="H42" s="162">
        <v>0</v>
      </c>
      <c r="I42" s="162">
        <v>612040</v>
      </c>
      <c r="J42" s="162">
        <v>0</v>
      </c>
      <c r="K42" s="162">
        <v>23085053.600000001</v>
      </c>
      <c r="L42" s="162">
        <v>17694456.600000001</v>
      </c>
      <c r="M42" s="162">
        <v>4302906.4000000004</v>
      </c>
      <c r="N42" s="162">
        <v>4302906.4000000004</v>
      </c>
    </row>
    <row r="43" spans="1:14" s="161" customFormat="1" x14ac:dyDescent="0.25">
      <c r="A43" s="161" t="s">
        <v>554</v>
      </c>
      <c r="B43" s="161" t="s">
        <v>173</v>
      </c>
      <c r="C43" s="161" t="s">
        <v>174</v>
      </c>
      <c r="D43" s="161" t="s">
        <v>553</v>
      </c>
      <c r="E43" s="162">
        <v>48000000</v>
      </c>
      <c r="F43" s="162">
        <v>28000000</v>
      </c>
      <c r="G43" s="162">
        <v>28000000</v>
      </c>
      <c r="H43" s="162">
        <v>0</v>
      </c>
      <c r="I43" s="162">
        <v>612040</v>
      </c>
      <c r="J43" s="162">
        <v>0</v>
      </c>
      <c r="K43" s="162">
        <v>23085053.600000001</v>
      </c>
      <c r="L43" s="162">
        <v>17694456.600000001</v>
      </c>
      <c r="M43" s="162">
        <v>4302906.4000000004</v>
      </c>
      <c r="N43" s="162">
        <v>4302906.4000000004</v>
      </c>
    </row>
    <row r="44" spans="1:14" s="161" customFormat="1" x14ac:dyDescent="0.25">
      <c r="A44" s="161" t="s">
        <v>554</v>
      </c>
      <c r="B44" s="161" t="s">
        <v>175</v>
      </c>
      <c r="C44" s="161" t="s">
        <v>176</v>
      </c>
      <c r="D44" s="161" t="s">
        <v>553</v>
      </c>
      <c r="E44" s="162">
        <v>7397000</v>
      </c>
      <c r="F44" s="162">
        <v>7472000</v>
      </c>
      <c r="G44" s="162">
        <v>7472000</v>
      </c>
      <c r="H44" s="162">
        <v>0</v>
      </c>
      <c r="I44" s="162">
        <v>100000</v>
      </c>
      <c r="J44" s="162">
        <v>0</v>
      </c>
      <c r="K44" s="162">
        <v>6067678.0599999996</v>
      </c>
      <c r="L44" s="162">
        <v>4203904.97</v>
      </c>
      <c r="M44" s="162">
        <v>1304321.94</v>
      </c>
      <c r="N44" s="162">
        <v>1304321.94</v>
      </c>
    </row>
    <row r="45" spans="1:14" s="161" customFormat="1" x14ac:dyDescent="0.25">
      <c r="A45" s="161" t="s">
        <v>554</v>
      </c>
      <c r="B45" s="161" t="s">
        <v>316</v>
      </c>
      <c r="C45" s="161" t="s">
        <v>317</v>
      </c>
      <c r="D45" s="161" t="s">
        <v>553</v>
      </c>
      <c r="E45" s="162">
        <v>5000000</v>
      </c>
      <c r="F45" s="162">
        <v>5000000</v>
      </c>
      <c r="G45" s="162">
        <v>5000000</v>
      </c>
      <c r="H45" s="162">
        <v>0</v>
      </c>
      <c r="I45" s="162">
        <v>0</v>
      </c>
      <c r="J45" s="162">
        <v>0</v>
      </c>
      <c r="K45" s="162">
        <v>4910000</v>
      </c>
      <c r="L45" s="162">
        <v>3420000</v>
      </c>
      <c r="M45" s="162">
        <v>90000</v>
      </c>
      <c r="N45" s="162">
        <v>90000</v>
      </c>
    </row>
    <row r="46" spans="1:14" s="161" customFormat="1" x14ac:dyDescent="0.25">
      <c r="A46" s="161" t="s">
        <v>554</v>
      </c>
      <c r="B46" s="161" t="s">
        <v>177</v>
      </c>
      <c r="C46" s="161" t="s">
        <v>178</v>
      </c>
      <c r="D46" s="161" t="s">
        <v>553</v>
      </c>
      <c r="E46" s="162">
        <v>1797000</v>
      </c>
      <c r="F46" s="162">
        <v>1872000</v>
      </c>
      <c r="G46" s="162">
        <v>1872000</v>
      </c>
      <c r="H46" s="162">
        <v>0</v>
      </c>
      <c r="I46" s="162">
        <v>0</v>
      </c>
      <c r="J46" s="162">
        <v>0</v>
      </c>
      <c r="K46" s="162">
        <v>972813.09</v>
      </c>
      <c r="L46" s="162">
        <v>599040</v>
      </c>
      <c r="M46" s="162">
        <v>899186.91</v>
      </c>
      <c r="N46" s="162">
        <v>899186.91</v>
      </c>
    </row>
    <row r="47" spans="1:14" s="161" customFormat="1" x14ac:dyDescent="0.25">
      <c r="A47" s="161" t="s">
        <v>554</v>
      </c>
      <c r="B47" s="161" t="s">
        <v>179</v>
      </c>
      <c r="C47" s="161" t="s">
        <v>180</v>
      </c>
      <c r="D47" s="161" t="s">
        <v>553</v>
      </c>
      <c r="E47" s="162">
        <v>600000</v>
      </c>
      <c r="F47" s="162">
        <v>600000</v>
      </c>
      <c r="G47" s="162">
        <v>600000</v>
      </c>
      <c r="H47" s="162">
        <v>0</v>
      </c>
      <c r="I47" s="162">
        <v>100000</v>
      </c>
      <c r="J47" s="162">
        <v>0</v>
      </c>
      <c r="K47" s="162">
        <v>184864.97</v>
      </c>
      <c r="L47" s="162">
        <v>184864.97</v>
      </c>
      <c r="M47" s="162">
        <v>315135.03000000003</v>
      </c>
      <c r="N47" s="162">
        <v>315135.03000000003</v>
      </c>
    </row>
    <row r="48" spans="1:14" s="161" customFormat="1" x14ac:dyDescent="0.25">
      <c r="A48" s="161" t="s">
        <v>554</v>
      </c>
      <c r="B48" s="161" t="s">
        <v>181</v>
      </c>
      <c r="C48" s="161" t="s">
        <v>182</v>
      </c>
      <c r="D48" s="161" t="s">
        <v>553</v>
      </c>
      <c r="E48" s="162">
        <v>22990000</v>
      </c>
      <c r="F48" s="162">
        <v>22287000</v>
      </c>
      <c r="G48" s="162">
        <v>22287000</v>
      </c>
      <c r="H48" s="162">
        <v>0</v>
      </c>
      <c r="I48" s="162">
        <v>1075100</v>
      </c>
      <c r="J48" s="162">
        <v>0</v>
      </c>
      <c r="K48" s="162">
        <v>14845971.699999999</v>
      </c>
      <c r="L48" s="162">
        <v>11688159</v>
      </c>
      <c r="M48" s="162">
        <v>6365928.2999999998</v>
      </c>
      <c r="N48" s="162">
        <v>6365928.2999999998</v>
      </c>
    </row>
    <row r="49" spans="1:14" s="161" customFormat="1" x14ac:dyDescent="0.25">
      <c r="A49" s="161" t="s">
        <v>554</v>
      </c>
      <c r="B49" s="161" t="s">
        <v>185</v>
      </c>
      <c r="C49" s="161" t="s">
        <v>186</v>
      </c>
      <c r="D49" s="161" t="s">
        <v>553</v>
      </c>
      <c r="E49" s="162">
        <v>16000000</v>
      </c>
      <c r="F49" s="162">
        <v>15250000</v>
      </c>
      <c r="G49" s="162">
        <v>15250000</v>
      </c>
      <c r="H49" s="162">
        <v>0</v>
      </c>
      <c r="I49" s="162">
        <v>547500</v>
      </c>
      <c r="J49" s="162">
        <v>0</v>
      </c>
      <c r="K49" s="162">
        <v>11040293</v>
      </c>
      <c r="L49" s="162">
        <v>8916886</v>
      </c>
      <c r="M49" s="162">
        <v>3662207</v>
      </c>
      <c r="N49" s="162">
        <v>3662207</v>
      </c>
    </row>
    <row r="50" spans="1:14" s="161" customFormat="1" x14ac:dyDescent="0.25">
      <c r="A50" s="161" t="s">
        <v>554</v>
      </c>
      <c r="B50" s="161" t="s">
        <v>187</v>
      </c>
      <c r="C50" s="161" t="s">
        <v>188</v>
      </c>
      <c r="D50" s="161" t="s">
        <v>553</v>
      </c>
      <c r="E50" s="162">
        <v>0</v>
      </c>
      <c r="F50" s="162">
        <v>150000</v>
      </c>
      <c r="G50" s="162">
        <v>150000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2">
        <v>150000</v>
      </c>
      <c r="N50" s="162">
        <v>150000</v>
      </c>
    </row>
    <row r="51" spans="1:14" s="161" customFormat="1" x14ac:dyDescent="0.25">
      <c r="A51" s="161" t="s">
        <v>554</v>
      </c>
      <c r="B51" s="161" t="s">
        <v>189</v>
      </c>
      <c r="C51" s="161" t="s">
        <v>190</v>
      </c>
      <c r="D51" s="161" t="s">
        <v>553</v>
      </c>
      <c r="E51" s="162">
        <v>4000000</v>
      </c>
      <c r="F51" s="162">
        <v>3850000</v>
      </c>
      <c r="G51" s="162">
        <v>3850000</v>
      </c>
      <c r="H51" s="162">
        <v>0</v>
      </c>
      <c r="I51" s="162">
        <v>527600</v>
      </c>
      <c r="J51" s="162">
        <v>0</v>
      </c>
      <c r="K51" s="162">
        <v>3098873</v>
      </c>
      <c r="L51" s="162">
        <v>2771273</v>
      </c>
      <c r="M51" s="162">
        <v>223527</v>
      </c>
      <c r="N51" s="162">
        <v>223527</v>
      </c>
    </row>
    <row r="52" spans="1:14" s="161" customFormat="1" x14ac:dyDescent="0.25">
      <c r="A52" s="161" t="s">
        <v>554</v>
      </c>
      <c r="B52" s="161" t="s">
        <v>191</v>
      </c>
      <c r="C52" s="161" t="s">
        <v>192</v>
      </c>
      <c r="D52" s="161" t="s">
        <v>553</v>
      </c>
      <c r="E52" s="162">
        <v>290000</v>
      </c>
      <c r="F52" s="162">
        <v>337000</v>
      </c>
      <c r="G52" s="162">
        <v>337000</v>
      </c>
      <c r="H52" s="162">
        <v>0</v>
      </c>
      <c r="I52" s="162">
        <v>0</v>
      </c>
      <c r="J52" s="162">
        <v>0</v>
      </c>
      <c r="K52" s="162">
        <v>322575</v>
      </c>
      <c r="L52" s="162">
        <v>0</v>
      </c>
      <c r="M52" s="162">
        <v>14425</v>
      </c>
      <c r="N52" s="162">
        <v>14425</v>
      </c>
    </row>
    <row r="53" spans="1:14" s="161" customFormat="1" x14ac:dyDescent="0.25">
      <c r="A53" s="161" t="s">
        <v>554</v>
      </c>
      <c r="B53" s="161" t="s">
        <v>193</v>
      </c>
      <c r="C53" s="161" t="s">
        <v>194</v>
      </c>
      <c r="D53" s="161" t="s">
        <v>553</v>
      </c>
      <c r="E53" s="162">
        <v>2700000</v>
      </c>
      <c r="F53" s="162">
        <v>2700000</v>
      </c>
      <c r="G53" s="162">
        <v>2700000</v>
      </c>
      <c r="H53" s="162">
        <v>0</v>
      </c>
      <c r="I53" s="162">
        <v>0</v>
      </c>
      <c r="J53" s="162">
        <v>0</v>
      </c>
      <c r="K53" s="162">
        <v>384230.7</v>
      </c>
      <c r="L53" s="162">
        <v>0</v>
      </c>
      <c r="M53" s="162">
        <v>2315769.2999999998</v>
      </c>
      <c r="N53" s="162">
        <v>2315769.2999999998</v>
      </c>
    </row>
    <row r="54" spans="1:14" s="161" customFormat="1" x14ac:dyDescent="0.25">
      <c r="A54" s="161" t="s">
        <v>554</v>
      </c>
      <c r="B54" s="161" t="s">
        <v>195</v>
      </c>
      <c r="C54" s="161" t="s">
        <v>196</v>
      </c>
      <c r="D54" s="161" t="s">
        <v>553</v>
      </c>
      <c r="E54" s="162">
        <v>1500000</v>
      </c>
      <c r="F54" s="162">
        <v>1500000</v>
      </c>
      <c r="G54" s="162">
        <v>1500000</v>
      </c>
      <c r="H54" s="162">
        <v>0</v>
      </c>
      <c r="I54" s="162">
        <v>1250684</v>
      </c>
      <c r="J54" s="162">
        <v>0</v>
      </c>
      <c r="K54" s="162">
        <v>249316</v>
      </c>
      <c r="L54" s="162">
        <v>0</v>
      </c>
      <c r="M54" s="162">
        <v>0</v>
      </c>
      <c r="N54" s="162">
        <v>0</v>
      </c>
    </row>
    <row r="55" spans="1:14" s="161" customFormat="1" x14ac:dyDescent="0.25">
      <c r="A55" s="161" t="s">
        <v>554</v>
      </c>
      <c r="B55" s="161" t="s">
        <v>197</v>
      </c>
      <c r="C55" s="161" t="s">
        <v>198</v>
      </c>
      <c r="D55" s="161" t="s">
        <v>553</v>
      </c>
      <c r="E55" s="162">
        <v>1500000</v>
      </c>
      <c r="F55" s="162">
        <v>1500000</v>
      </c>
      <c r="G55" s="162">
        <v>1500000</v>
      </c>
      <c r="H55" s="162">
        <v>0</v>
      </c>
      <c r="I55" s="162">
        <v>1250684</v>
      </c>
      <c r="J55" s="162">
        <v>0</v>
      </c>
      <c r="K55" s="162">
        <v>249316</v>
      </c>
      <c r="L55" s="162">
        <v>0</v>
      </c>
      <c r="M55" s="162">
        <v>0</v>
      </c>
      <c r="N55" s="162">
        <v>0</v>
      </c>
    </row>
    <row r="56" spans="1:14" s="161" customFormat="1" x14ac:dyDescent="0.25">
      <c r="A56" s="161" t="s">
        <v>554</v>
      </c>
      <c r="B56" s="161" t="s">
        <v>199</v>
      </c>
      <c r="C56" s="161" t="s">
        <v>200</v>
      </c>
      <c r="D56" s="161" t="s">
        <v>553</v>
      </c>
      <c r="E56" s="162">
        <v>1000000</v>
      </c>
      <c r="F56" s="162">
        <v>1000000</v>
      </c>
      <c r="G56" s="162">
        <v>1000000</v>
      </c>
      <c r="H56" s="162">
        <v>0</v>
      </c>
      <c r="I56" s="162">
        <v>800000</v>
      </c>
      <c r="J56" s="162">
        <v>0</v>
      </c>
      <c r="K56" s="162">
        <v>200000</v>
      </c>
      <c r="L56" s="162">
        <v>200000</v>
      </c>
      <c r="M56" s="162">
        <v>0</v>
      </c>
      <c r="N56" s="162">
        <v>0</v>
      </c>
    </row>
    <row r="57" spans="1:14" s="161" customFormat="1" x14ac:dyDescent="0.25">
      <c r="A57" s="161" t="s">
        <v>554</v>
      </c>
      <c r="B57" s="161" t="s">
        <v>201</v>
      </c>
      <c r="C57" s="161" t="s">
        <v>202</v>
      </c>
      <c r="D57" s="161" t="s">
        <v>553</v>
      </c>
      <c r="E57" s="162">
        <v>1000000</v>
      </c>
      <c r="F57" s="162">
        <v>1000000</v>
      </c>
      <c r="G57" s="162">
        <v>1000000</v>
      </c>
      <c r="H57" s="162">
        <v>0</v>
      </c>
      <c r="I57" s="162">
        <v>800000</v>
      </c>
      <c r="J57" s="162">
        <v>0</v>
      </c>
      <c r="K57" s="162">
        <v>200000</v>
      </c>
      <c r="L57" s="162">
        <v>200000</v>
      </c>
      <c r="M57" s="162">
        <v>0</v>
      </c>
      <c r="N57" s="162">
        <v>0</v>
      </c>
    </row>
    <row r="58" spans="1:14" s="161" customFormat="1" x14ac:dyDescent="0.25">
      <c r="A58" s="161" t="s">
        <v>554</v>
      </c>
      <c r="B58" s="161" t="s">
        <v>203</v>
      </c>
      <c r="C58" s="161" t="s">
        <v>204</v>
      </c>
      <c r="D58" s="161" t="s">
        <v>553</v>
      </c>
      <c r="E58" s="162">
        <v>70900000</v>
      </c>
      <c r="F58" s="162">
        <v>49640986</v>
      </c>
      <c r="G58" s="162">
        <v>49640986</v>
      </c>
      <c r="H58" s="162">
        <v>0</v>
      </c>
      <c r="I58" s="162">
        <v>1644911.8</v>
      </c>
      <c r="J58" s="162">
        <v>0</v>
      </c>
      <c r="K58" s="162">
        <v>45322798.060000002</v>
      </c>
      <c r="L58" s="162">
        <v>44585870.560000002</v>
      </c>
      <c r="M58" s="162">
        <v>2673276.14</v>
      </c>
      <c r="N58" s="162">
        <v>2673276.14</v>
      </c>
    </row>
    <row r="59" spans="1:14" s="161" customFormat="1" x14ac:dyDescent="0.25">
      <c r="A59" s="161" t="s">
        <v>554</v>
      </c>
      <c r="B59" s="161" t="s">
        <v>205</v>
      </c>
      <c r="C59" s="161" t="s">
        <v>206</v>
      </c>
      <c r="D59" s="161" t="s">
        <v>553</v>
      </c>
      <c r="E59" s="162">
        <v>25925000</v>
      </c>
      <c r="F59" s="162">
        <v>14977000</v>
      </c>
      <c r="G59" s="162">
        <v>14977000</v>
      </c>
      <c r="H59" s="162">
        <v>0</v>
      </c>
      <c r="I59" s="162">
        <v>1514937.8</v>
      </c>
      <c r="J59" s="162">
        <v>0</v>
      </c>
      <c r="K59" s="162">
        <v>12597078.970000001</v>
      </c>
      <c r="L59" s="162">
        <v>12421527.970000001</v>
      </c>
      <c r="M59" s="162">
        <v>864983.23</v>
      </c>
      <c r="N59" s="162">
        <v>864983.23</v>
      </c>
    </row>
    <row r="60" spans="1:14" s="161" customFormat="1" x14ac:dyDescent="0.25">
      <c r="A60" s="161" t="s">
        <v>554</v>
      </c>
      <c r="B60" s="161" t="s">
        <v>207</v>
      </c>
      <c r="C60" s="161" t="s">
        <v>208</v>
      </c>
      <c r="D60" s="161" t="s">
        <v>553</v>
      </c>
      <c r="E60" s="162">
        <v>17000000</v>
      </c>
      <c r="F60" s="162">
        <v>8500000</v>
      </c>
      <c r="G60" s="162">
        <v>8500000</v>
      </c>
      <c r="H60" s="162">
        <v>0</v>
      </c>
      <c r="I60" s="162">
        <v>1514937.8</v>
      </c>
      <c r="J60" s="162">
        <v>0</v>
      </c>
      <c r="K60" s="162">
        <v>6636073.9699999997</v>
      </c>
      <c r="L60" s="162">
        <v>6460522.9699999997</v>
      </c>
      <c r="M60" s="162">
        <v>348988.23</v>
      </c>
      <c r="N60" s="162">
        <v>348988.23</v>
      </c>
    </row>
    <row r="61" spans="1:14" s="161" customFormat="1" x14ac:dyDescent="0.25">
      <c r="A61" s="161" t="s">
        <v>554</v>
      </c>
      <c r="B61" s="161" t="s">
        <v>209</v>
      </c>
      <c r="C61" s="161" t="s">
        <v>210</v>
      </c>
      <c r="D61" s="161" t="s">
        <v>553</v>
      </c>
      <c r="E61" s="162">
        <v>8000000</v>
      </c>
      <c r="F61" s="162">
        <v>5952000</v>
      </c>
      <c r="G61" s="162">
        <v>5952000</v>
      </c>
      <c r="H61" s="162">
        <v>0</v>
      </c>
      <c r="I61" s="162">
        <v>0</v>
      </c>
      <c r="J61" s="162">
        <v>0</v>
      </c>
      <c r="K61" s="162">
        <v>5951735</v>
      </c>
      <c r="L61" s="162">
        <v>5951735</v>
      </c>
      <c r="M61" s="162">
        <v>265</v>
      </c>
      <c r="N61" s="162">
        <v>265</v>
      </c>
    </row>
    <row r="62" spans="1:14" s="161" customFormat="1" x14ac:dyDescent="0.25">
      <c r="A62" s="161" t="s">
        <v>554</v>
      </c>
      <c r="B62" s="161" t="s">
        <v>211</v>
      </c>
      <c r="C62" s="161" t="s">
        <v>212</v>
      </c>
      <c r="D62" s="161" t="s">
        <v>553</v>
      </c>
      <c r="E62" s="162">
        <v>500000</v>
      </c>
      <c r="F62" s="162">
        <v>100000</v>
      </c>
      <c r="G62" s="162">
        <v>100000</v>
      </c>
      <c r="H62" s="162">
        <v>0</v>
      </c>
      <c r="I62" s="162">
        <v>0</v>
      </c>
      <c r="J62" s="162">
        <v>0</v>
      </c>
      <c r="K62" s="162">
        <v>9270</v>
      </c>
      <c r="L62" s="162">
        <v>9270</v>
      </c>
      <c r="M62" s="162">
        <v>90730</v>
      </c>
      <c r="N62" s="162">
        <v>90730</v>
      </c>
    </row>
    <row r="63" spans="1:14" s="161" customFormat="1" x14ac:dyDescent="0.25">
      <c r="A63" s="161" t="s">
        <v>554</v>
      </c>
      <c r="B63" s="161" t="s">
        <v>213</v>
      </c>
      <c r="C63" s="161" t="s">
        <v>214</v>
      </c>
      <c r="D63" s="161" t="s">
        <v>553</v>
      </c>
      <c r="E63" s="162">
        <v>425000</v>
      </c>
      <c r="F63" s="162">
        <v>425000</v>
      </c>
      <c r="G63" s="162">
        <v>425000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>
        <v>425000</v>
      </c>
      <c r="N63" s="162">
        <v>425000</v>
      </c>
    </row>
    <row r="64" spans="1:14" s="161" customFormat="1" x14ac:dyDescent="0.25">
      <c r="A64" s="161" t="s">
        <v>554</v>
      </c>
      <c r="B64" s="161" t="s">
        <v>215</v>
      </c>
      <c r="C64" s="161" t="s">
        <v>216</v>
      </c>
      <c r="D64" s="161" t="s">
        <v>553</v>
      </c>
      <c r="E64" s="162">
        <v>3500000</v>
      </c>
      <c r="F64" s="162">
        <v>3500000</v>
      </c>
      <c r="G64" s="162">
        <v>3500000</v>
      </c>
      <c r="H64" s="162">
        <v>0</v>
      </c>
      <c r="I64" s="162">
        <v>0</v>
      </c>
      <c r="J64" s="162">
        <v>0</v>
      </c>
      <c r="K64" s="162">
        <v>3429858</v>
      </c>
      <c r="L64" s="162">
        <v>3429858</v>
      </c>
      <c r="M64" s="162">
        <v>70142</v>
      </c>
      <c r="N64" s="162">
        <v>70142</v>
      </c>
    </row>
    <row r="65" spans="1:14" s="161" customFormat="1" x14ac:dyDescent="0.25">
      <c r="A65" s="161" t="s">
        <v>554</v>
      </c>
      <c r="B65" s="161" t="s">
        <v>217</v>
      </c>
      <c r="C65" s="161" t="s">
        <v>218</v>
      </c>
      <c r="D65" s="161" t="s">
        <v>553</v>
      </c>
      <c r="E65" s="162">
        <v>3500000</v>
      </c>
      <c r="F65" s="162">
        <v>3500000</v>
      </c>
      <c r="G65" s="162">
        <v>3500000</v>
      </c>
      <c r="H65" s="162">
        <v>0</v>
      </c>
      <c r="I65" s="162">
        <v>0</v>
      </c>
      <c r="J65" s="162">
        <v>0</v>
      </c>
      <c r="K65" s="162">
        <v>3429858</v>
      </c>
      <c r="L65" s="162">
        <v>3429858</v>
      </c>
      <c r="M65" s="162">
        <v>70142</v>
      </c>
      <c r="N65" s="162">
        <v>70142</v>
      </c>
    </row>
    <row r="66" spans="1:14" s="161" customFormat="1" x14ac:dyDescent="0.25">
      <c r="A66" s="161" t="s">
        <v>554</v>
      </c>
      <c r="B66" s="161" t="s">
        <v>219</v>
      </c>
      <c r="C66" s="161" t="s">
        <v>220</v>
      </c>
      <c r="D66" s="161" t="s">
        <v>553</v>
      </c>
      <c r="E66" s="162">
        <v>2000000</v>
      </c>
      <c r="F66" s="162">
        <v>2000000</v>
      </c>
      <c r="G66" s="162">
        <v>2000000</v>
      </c>
      <c r="H66" s="162">
        <v>0</v>
      </c>
      <c r="I66" s="162">
        <v>0</v>
      </c>
      <c r="J66" s="162">
        <v>0</v>
      </c>
      <c r="K66" s="162">
        <v>1971225.15</v>
      </c>
      <c r="L66" s="162">
        <v>1971225.15</v>
      </c>
      <c r="M66" s="162">
        <v>28774.85</v>
      </c>
      <c r="N66" s="162">
        <v>28774.85</v>
      </c>
    </row>
    <row r="67" spans="1:14" s="161" customFormat="1" x14ac:dyDescent="0.25">
      <c r="A67" s="161" t="s">
        <v>554</v>
      </c>
      <c r="B67" s="161" t="s">
        <v>223</v>
      </c>
      <c r="C67" s="161" t="s">
        <v>224</v>
      </c>
      <c r="D67" s="161" t="s">
        <v>553</v>
      </c>
      <c r="E67" s="162">
        <v>2000000</v>
      </c>
      <c r="F67" s="162">
        <v>2000000</v>
      </c>
      <c r="G67" s="162">
        <v>2000000</v>
      </c>
      <c r="H67" s="162">
        <v>0</v>
      </c>
      <c r="I67" s="162">
        <v>0</v>
      </c>
      <c r="J67" s="162">
        <v>0</v>
      </c>
      <c r="K67" s="162">
        <v>1971225.15</v>
      </c>
      <c r="L67" s="162">
        <v>1971225.15</v>
      </c>
      <c r="M67" s="162">
        <v>28774.85</v>
      </c>
      <c r="N67" s="162">
        <v>28774.85</v>
      </c>
    </row>
    <row r="68" spans="1:14" s="161" customFormat="1" x14ac:dyDescent="0.25">
      <c r="A68" s="161" t="s">
        <v>554</v>
      </c>
      <c r="B68" s="161" t="s">
        <v>231</v>
      </c>
      <c r="C68" s="161" t="s">
        <v>232</v>
      </c>
      <c r="D68" s="161" t="s">
        <v>553</v>
      </c>
      <c r="E68" s="162">
        <v>4400000</v>
      </c>
      <c r="F68" s="162">
        <v>1578986</v>
      </c>
      <c r="G68" s="162">
        <v>1578986</v>
      </c>
      <c r="H68" s="162">
        <v>0</v>
      </c>
      <c r="I68" s="162">
        <v>0</v>
      </c>
      <c r="J68" s="162">
        <v>0</v>
      </c>
      <c r="K68" s="162">
        <v>1568985.85</v>
      </c>
      <c r="L68" s="162">
        <v>1568985.85</v>
      </c>
      <c r="M68" s="162">
        <v>10000.15</v>
      </c>
      <c r="N68" s="162">
        <v>10000.15</v>
      </c>
    </row>
    <row r="69" spans="1:14" s="161" customFormat="1" x14ac:dyDescent="0.25">
      <c r="A69" s="161" t="s">
        <v>554</v>
      </c>
      <c r="B69" s="161" t="s">
        <v>233</v>
      </c>
      <c r="C69" s="161" t="s">
        <v>234</v>
      </c>
      <c r="D69" s="161" t="s">
        <v>553</v>
      </c>
      <c r="E69" s="162">
        <v>3580000</v>
      </c>
      <c r="F69" s="162">
        <v>758986</v>
      </c>
      <c r="G69" s="162">
        <v>758986</v>
      </c>
      <c r="H69" s="162">
        <v>0</v>
      </c>
      <c r="I69" s="162">
        <v>0</v>
      </c>
      <c r="J69" s="162">
        <v>0</v>
      </c>
      <c r="K69" s="162">
        <v>758985.85</v>
      </c>
      <c r="L69" s="162">
        <v>758985.85</v>
      </c>
      <c r="M69" s="162">
        <v>0.15</v>
      </c>
      <c r="N69" s="162">
        <v>0.15</v>
      </c>
    </row>
    <row r="70" spans="1:14" s="161" customFormat="1" x14ac:dyDescent="0.25">
      <c r="A70" s="161" t="s">
        <v>554</v>
      </c>
      <c r="B70" s="161" t="s">
        <v>235</v>
      </c>
      <c r="C70" s="161" t="s">
        <v>236</v>
      </c>
      <c r="D70" s="161" t="s">
        <v>553</v>
      </c>
      <c r="E70" s="162">
        <v>820000</v>
      </c>
      <c r="F70" s="162">
        <v>820000</v>
      </c>
      <c r="G70" s="162">
        <v>820000</v>
      </c>
      <c r="H70" s="162">
        <v>0</v>
      </c>
      <c r="I70" s="162">
        <v>0</v>
      </c>
      <c r="J70" s="162">
        <v>0</v>
      </c>
      <c r="K70" s="162">
        <v>810000</v>
      </c>
      <c r="L70" s="162">
        <v>810000</v>
      </c>
      <c r="M70" s="162">
        <v>10000</v>
      </c>
      <c r="N70" s="162">
        <v>10000</v>
      </c>
    </row>
    <row r="71" spans="1:14" s="161" customFormat="1" x14ac:dyDescent="0.25">
      <c r="A71" s="161" t="s">
        <v>554</v>
      </c>
      <c r="B71" s="161" t="s">
        <v>237</v>
      </c>
      <c r="C71" s="161" t="s">
        <v>238</v>
      </c>
      <c r="D71" s="161" t="s">
        <v>553</v>
      </c>
      <c r="E71" s="162">
        <v>35075000</v>
      </c>
      <c r="F71" s="162">
        <v>27585000</v>
      </c>
      <c r="G71" s="162">
        <v>27585000</v>
      </c>
      <c r="H71" s="162">
        <v>0</v>
      </c>
      <c r="I71" s="162">
        <v>129974</v>
      </c>
      <c r="J71" s="162">
        <v>0</v>
      </c>
      <c r="K71" s="162">
        <v>25755650.09</v>
      </c>
      <c r="L71" s="162">
        <v>25194273.59</v>
      </c>
      <c r="M71" s="162">
        <v>1699375.91</v>
      </c>
      <c r="N71" s="162">
        <v>1699375.91</v>
      </c>
    </row>
    <row r="72" spans="1:14" s="161" customFormat="1" x14ac:dyDescent="0.25">
      <c r="A72" s="161" t="s">
        <v>554</v>
      </c>
      <c r="B72" s="161" t="s">
        <v>239</v>
      </c>
      <c r="C72" s="161" t="s">
        <v>240</v>
      </c>
      <c r="D72" s="161" t="s">
        <v>553</v>
      </c>
      <c r="E72" s="162">
        <v>4500000</v>
      </c>
      <c r="F72" s="162">
        <v>3500000</v>
      </c>
      <c r="G72" s="162">
        <v>3500000</v>
      </c>
      <c r="H72" s="162">
        <v>0</v>
      </c>
      <c r="I72" s="162">
        <v>84624</v>
      </c>
      <c r="J72" s="162">
        <v>0</v>
      </c>
      <c r="K72" s="162">
        <v>2998273.22</v>
      </c>
      <c r="L72" s="162">
        <v>2486232.2799999998</v>
      </c>
      <c r="M72" s="162">
        <v>417102.78</v>
      </c>
      <c r="N72" s="162">
        <v>417102.78</v>
      </c>
    </row>
    <row r="73" spans="1:14" s="161" customFormat="1" x14ac:dyDescent="0.25">
      <c r="A73" s="161" t="s">
        <v>554</v>
      </c>
      <c r="B73" s="161" t="s">
        <v>241</v>
      </c>
      <c r="C73" s="161" t="s">
        <v>242</v>
      </c>
      <c r="D73" s="161" t="s">
        <v>553</v>
      </c>
      <c r="E73" s="162">
        <v>4000000</v>
      </c>
      <c r="F73" s="162">
        <v>2000000</v>
      </c>
      <c r="G73" s="162">
        <v>2000000</v>
      </c>
      <c r="H73" s="162">
        <v>0</v>
      </c>
      <c r="I73" s="162">
        <v>0</v>
      </c>
      <c r="J73" s="162">
        <v>0</v>
      </c>
      <c r="K73" s="162">
        <v>1125000</v>
      </c>
      <c r="L73" s="162">
        <v>1125000</v>
      </c>
      <c r="M73" s="162">
        <v>875000</v>
      </c>
      <c r="N73" s="162">
        <v>875000</v>
      </c>
    </row>
    <row r="74" spans="1:14" s="161" customFormat="1" x14ac:dyDescent="0.25">
      <c r="A74" s="161" t="s">
        <v>554</v>
      </c>
      <c r="B74" s="161" t="s">
        <v>243</v>
      </c>
      <c r="C74" s="161" t="s">
        <v>244</v>
      </c>
      <c r="D74" s="161" t="s">
        <v>553</v>
      </c>
      <c r="E74" s="162">
        <v>22000000</v>
      </c>
      <c r="F74" s="162">
        <v>19800000</v>
      </c>
      <c r="G74" s="162">
        <v>19800000</v>
      </c>
      <c r="H74" s="162">
        <v>0</v>
      </c>
      <c r="I74" s="162">
        <v>45350</v>
      </c>
      <c r="J74" s="162">
        <v>0</v>
      </c>
      <c r="K74" s="162">
        <v>19404345.760000002</v>
      </c>
      <c r="L74" s="162">
        <v>19355010.199999999</v>
      </c>
      <c r="M74" s="162">
        <v>350304.24</v>
      </c>
      <c r="N74" s="162">
        <v>350304.24</v>
      </c>
    </row>
    <row r="75" spans="1:14" s="161" customFormat="1" x14ac:dyDescent="0.25">
      <c r="A75" s="161" t="s">
        <v>554</v>
      </c>
      <c r="B75" s="161" t="s">
        <v>247</v>
      </c>
      <c r="C75" s="161" t="s">
        <v>248</v>
      </c>
      <c r="D75" s="161" t="s">
        <v>553</v>
      </c>
      <c r="E75" s="162">
        <v>3575000</v>
      </c>
      <c r="F75" s="162">
        <v>1285000</v>
      </c>
      <c r="G75" s="162">
        <v>1285000</v>
      </c>
      <c r="H75" s="162">
        <v>0</v>
      </c>
      <c r="I75" s="162">
        <v>0</v>
      </c>
      <c r="J75" s="162">
        <v>0</v>
      </c>
      <c r="K75" s="162">
        <v>1284531.1100000001</v>
      </c>
      <c r="L75" s="162">
        <v>1284531.1100000001</v>
      </c>
      <c r="M75" s="162">
        <v>468.89</v>
      </c>
      <c r="N75" s="162">
        <v>468.89</v>
      </c>
    </row>
    <row r="76" spans="1:14" s="161" customFormat="1" x14ac:dyDescent="0.25">
      <c r="A76" s="161" t="s">
        <v>554</v>
      </c>
      <c r="B76" s="161" t="s">
        <v>253</v>
      </c>
      <c r="C76" s="161" t="s">
        <v>254</v>
      </c>
      <c r="D76" s="161" t="s">
        <v>553</v>
      </c>
      <c r="E76" s="162">
        <v>1000000</v>
      </c>
      <c r="F76" s="162">
        <v>1000000</v>
      </c>
      <c r="G76" s="162">
        <v>1000000</v>
      </c>
      <c r="H76" s="162">
        <v>0</v>
      </c>
      <c r="I76" s="162">
        <v>0</v>
      </c>
      <c r="J76" s="162">
        <v>0</v>
      </c>
      <c r="K76" s="162">
        <v>943500</v>
      </c>
      <c r="L76" s="162">
        <v>943500</v>
      </c>
      <c r="M76" s="162">
        <v>56500</v>
      </c>
      <c r="N76" s="162">
        <v>56500</v>
      </c>
    </row>
    <row r="77" spans="1:14" s="161" customFormat="1" x14ac:dyDescent="0.25">
      <c r="A77" s="161" t="s">
        <v>554</v>
      </c>
      <c r="B77" s="161" t="s">
        <v>285</v>
      </c>
      <c r="C77" s="161" t="s">
        <v>286</v>
      </c>
      <c r="D77" s="161" t="s">
        <v>553</v>
      </c>
      <c r="E77" s="162">
        <v>4150000</v>
      </c>
      <c r="F77" s="162">
        <v>5094000</v>
      </c>
      <c r="G77" s="162">
        <v>5094000</v>
      </c>
      <c r="H77" s="162">
        <v>0</v>
      </c>
      <c r="I77" s="162">
        <v>0</v>
      </c>
      <c r="J77" s="162">
        <v>0</v>
      </c>
      <c r="K77" s="162">
        <v>4337503.07</v>
      </c>
      <c r="L77" s="162">
        <v>3792352.79</v>
      </c>
      <c r="M77" s="162">
        <v>756496.93</v>
      </c>
      <c r="N77" s="162">
        <v>756496.93</v>
      </c>
    </row>
    <row r="78" spans="1:14" s="161" customFormat="1" x14ac:dyDescent="0.25">
      <c r="A78" s="161" t="s">
        <v>554</v>
      </c>
      <c r="B78" s="161" t="s">
        <v>287</v>
      </c>
      <c r="C78" s="161" t="s">
        <v>288</v>
      </c>
      <c r="D78" s="161" t="s">
        <v>553</v>
      </c>
      <c r="E78" s="162">
        <v>4150000</v>
      </c>
      <c r="F78" s="162">
        <v>4500000</v>
      </c>
      <c r="G78" s="162">
        <v>4500000</v>
      </c>
      <c r="H78" s="162">
        <v>0</v>
      </c>
      <c r="I78" s="162">
        <v>0</v>
      </c>
      <c r="J78" s="162">
        <v>0</v>
      </c>
      <c r="K78" s="162">
        <v>3772322.07</v>
      </c>
      <c r="L78" s="162">
        <v>3227171.79</v>
      </c>
      <c r="M78" s="162">
        <v>727677.93</v>
      </c>
      <c r="N78" s="162">
        <v>727677.93</v>
      </c>
    </row>
    <row r="79" spans="1:14" s="161" customFormat="1" x14ac:dyDescent="0.25">
      <c r="A79" s="161" t="s">
        <v>554</v>
      </c>
      <c r="B79" s="161" t="s">
        <v>293</v>
      </c>
      <c r="C79" s="161" t="s">
        <v>294</v>
      </c>
      <c r="D79" s="161" t="s">
        <v>553</v>
      </c>
      <c r="E79" s="162">
        <v>0</v>
      </c>
      <c r="F79" s="162">
        <v>500000</v>
      </c>
      <c r="G79" s="162">
        <v>500000</v>
      </c>
      <c r="H79" s="162">
        <v>0</v>
      </c>
      <c r="I79" s="162">
        <v>0</v>
      </c>
      <c r="J79" s="162">
        <v>0</v>
      </c>
      <c r="K79" s="162">
        <v>310171.78999999998</v>
      </c>
      <c r="L79" s="162">
        <v>310171.78999999998</v>
      </c>
      <c r="M79" s="162">
        <v>189828.21</v>
      </c>
      <c r="N79" s="162">
        <v>189828.21</v>
      </c>
    </row>
    <row r="80" spans="1:14" s="161" customFormat="1" x14ac:dyDescent="0.25">
      <c r="A80" s="161" t="s">
        <v>554</v>
      </c>
      <c r="B80" s="161" t="s">
        <v>289</v>
      </c>
      <c r="C80" s="161" t="s">
        <v>290</v>
      </c>
      <c r="D80" s="161" t="s">
        <v>555</v>
      </c>
      <c r="E80" s="162">
        <v>450000</v>
      </c>
      <c r="F80" s="162">
        <v>0</v>
      </c>
      <c r="G80" s="162">
        <v>0</v>
      </c>
      <c r="H80" s="162">
        <v>0</v>
      </c>
      <c r="I80" s="162">
        <v>0</v>
      </c>
      <c r="J80" s="162">
        <v>0</v>
      </c>
      <c r="K80" s="162">
        <v>0</v>
      </c>
      <c r="L80" s="162">
        <v>0</v>
      </c>
      <c r="M80" s="162">
        <v>0</v>
      </c>
      <c r="N80" s="162">
        <v>0</v>
      </c>
    </row>
    <row r="81" spans="1:14" s="161" customFormat="1" x14ac:dyDescent="0.25">
      <c r="A81" s="161" t="s">
        <v>554</v>
      </c>
      <c r="B81" s="161" t="s">
        <v>291</v>
      </c>
      <c r="C81" s="161" t="s">
        <v>292</v>
      </c>
      <c r="D81" s="161" t="s">
        <v>555</v>
      </c>
      <c r="E81" s="162">
        <v>500000</v>
      </c>
      <c r="F81" s="162">
        <v>800000</v>
      </c>
      <c r="G81" s="162">
        <v>800000</v>
      </c>
      <c r="H81" s="162">
        <v>0</v>
      </c>
      <c r="I81" s="162">
        <v>0</v>
      </c>
      <c r="J81" s="162">
        <v>0</v>
      </c>
      <c r="K81" s="162">
        <v>780000</v>
      </c>
      <c r="L81" s="162">
        <v>780000</v>
      </c>
      <c r="M81" s="162">
        <v>20000</v>
      </c>
      <c r="N81" s="162">
        <v>20000</v>
      </c>
    </row>
    <row r="82" spans="1:14" s="161" customFormat="1" x14ac:dyDescent="0.25">
      <c r="A82" s="161" t="s">
        <v>554</v>
      </c>
      <c r="B82" s="161" t="s">
        <v>293</v>
      </c>
      <c r="C82" s="161" t="s">
        <v>294</v>
      </c>
      <c r="D82" s="161" t="s">
        <v>555</v>
      </c>
      <c r="E82" s="162">
        <v>3000000</v>
      </c>
      <c r="F82" s="162">
        <v>3000000</v>
      </c>
      <c r="G82" s="162">
        <v>3000000</v>
      </c>
      <c r="H82" s="162">
        <v>0</v>
      </c>
      <c r="I82" s="162">
        <v>0</v>
      </c>
      <c r="J82" s="162">
        <v>0</v>
      </c>
      <c r="K82" s="162">
        <v>2482150.2799999998</v>
      </c>
      <c r="L82" s="162">
        <v>1937000</v>
      </c>
      <c r="M82" s="162">
        <v>517849.72</v>
      </c>
      <c r="N82" s="162">
        <v>517849.72</v>
      </c>
    </row>
    <row r="83" spans="1:14" s="161" customFormat="1" x14ac:dyDescent="0.25">
      <c r="A83" s="161" t="s">
        <v>554</v>
      </c>
      <c r="B83" s="161" t="s">
        <v>301</v>
      </c>
      <c r="C83" s="161" t="s">
        <v>302</v>
      </c>
      <c r="D83" s="161" t="s">
        <v>555</v>
      </c>
      <c r="E83" s="162">
        <v>200000</v>
      </c>
      <c r="F83" s="162">
        <v>200000</v>
      </c>
      <c r="G83" s="162">
        <v>200000</v>
      </c>
      <c r="H83" s="162">
        <v>0</v>
      </c>
      <c r="I83" s="162">
        <v>0</v>
      </c>
      <c r="J83" s="162">
        <v>0</v>
      </c>
      <c r="K83" s="162">
        <v>200000</v>
      </c>
      <c r="L83" s="162">
        <v>200000</v>
      </c>
      <c r="M83" s="162">
        <v>0</v>
      </c>
      <c r="N83" s="162">
        <v>0</v>
      </c>
    </row>
    <row r="84" spans="1:14" s="161" customFormat="1" x14ac:dyDescent="0.25">
      <c r="A84" s="161" t="s">
        <v>554</v>
      </c>
      <c r="B84" s="161" t="s">
        <v>349</v>
      </c>
      <c r="C84" s="161" t="s">
        <v>350</v>
      </c>
      <c r="D84" s="161" t="s">
        <v>553</v>
      </c>
      <c r="E84" s="162">
        <v>0</v>
      </c>
      <c r="F84" s="162">
        <v>594000</v>
      </c>
      <c r="G84" s="162">
        <v>594000</v>
      </c>
      <c r="H84" s="162">
        <v>0</v>
      </c>
      <c r="I84" s="162">
        <v>0</v>
      </c>
      <c r="J84" s="162">
        <v>0</v>
      </c>
      <c r="K84" s="162">
        <v>565181</v>
      </c>
      <c r="L84" s="162">
        <v>565181</v>
      </c>
      <c r="M84" s="162">
        <v>28819</v>
      </c>
      <c r="N84" s="162">
        <v>28819</v>
      </c>
    </row>
    <row r="85" spans="1:14" s="161" customFormat="1" x14ac:dyDescent="0.25">
      <c r="A85" s="161" t="s">
        <v>554</v>
      </c>
      <c r="B85" s="161" t="s">
        <v>351</v>
      </c>
      <c r="C85" s="161" t="s">
        <v>352</v>
      </c>
      <c r="D85" s="161" t="s">
        <v>553</v>
      </c>
      <c r="E85" s="162">
        <v>0</v>
      </c>
      <c r="F85" s="162">
        <v>594000</v>
      </c>
      <c r="G85" s="162">
        <v>594000</v>
      </c>
      <c r="H85" s="162">
        <v>0</v>
      </c>
      <c r="I85" s="162">
        <v>0</v>
      </c>
      <c r="J85" s="162">
        <v>0</v>
      </c>
      <c r="K85" s="162">
        <v>565181</v>
      </c>
      <c r="L85" s="162">
        <v>565181</v>
      </c>
      <c r="M85" s="162">
        <v>28819</v>
      </c>
      <c r="N85" s="162">
        <v>28819</v>
      </c>
    </row>
    <row r="86" spans="1:14" s="161" customFormat="1" x14ac:dyDescent="0.25">
      <c r="A86" s="161" t="s">
        <v>554</v>
      </c>
      <c r="B86" s="161" t="s">
        <v>255</v>
      </c>
      <c r="C86" s="161" t="s">
        <v>256</v>
      </c>
      <c r="D86" s="161" t="s">
        <v>553</v>
      </c>
      <c r="E86" s="162">
        <v>756772000</v>
      </c>
      <c r="F86" s="162">
        <v>759678000</v>
      </c>
      <c r="G86" s="162">
        <v>759678000</v>
      </c>
      <c r="H86" s="162">
        <v>0</v>
      </c>
      <c r="I86" s="162">
        <v>0</v>
      </c>
      <c r="J86" s="162">
        <v>0</v>
      </c>
      <c r="K86" s="162">
        <v>715117602.11000001</v>
      </c>
      <c r="L86" s="162">
        <v>715117602.11000001</v>
      </c>
      <c r="M86" s="162">
        <v>44560397.890000001</v>
      </c>
      <c r="N86" s="162">
        <v>44560397.890000001</v>
      </c>
    </row>
    <row r="87" spans="1:14" s="161" customFormat="1" x14ac:dyDescent="0.25">
      <c r="A87" s="161" t="s">
        <v>554</v>
      </c>
      <c r="B87" s="161" t="s">
        <v>257</v>
      </c>
      <c r="C87" s="161" t="s">
        <v>258</v>
      </c>
      <c r="D87" s="161" t="s">
        <v>553</v>
      </c>
      <c r="E87" s="162">
        <v>312265000</v>
      </c>
      <c r="F87" s="162">
        <v>312265000</v>
      </c>
      <c r="G87" s="162">
        <v>312265000</v>
      </c>
      <c r="H87" s="162">
        <v>0</v>
      </c>
      <c r="I87" s="162">
        <v>0</v>
      </c>
      <c r="J87" s="162">
        <v>0</v>
      </c>
      <c r="K87" s="162">
        <v>277749194.51999998</v>
      </c>
      <c r="L87" s="162">
        <v>277749194.51999998</v>
      </c>
      <c r="M87" s="162">
        <v>34515805.479999997</v>
      </c>
      <c r="N87" s="162">
        <v>34515805.479999997</v>
      </c>
    </row>
    <row r="88" spans="1:14" s="161" customFormat="1" x14ac:dyDescent="0.25">
      <c r="A88" s="161" t="s">
        <v>554</v>
      </c>
      <c r="B88" s="161" t="s">
        <v>259</v>
      </c>
      <c r="C88" s="161" t="s">
        <v>260</v>
      </c>
      <c r="D88" s="161" t="s">
        <v>553</v>
      </c>
      <c r="E88" s="162">
        <v>2000000</v>
      </c>
      <c r="F88" s="162">
        <v>2000000</v>
      </c>
      <c r="G88" s="162">
        <v>2000000</v>
      </c>
      <c r="H88" s="162">
        <v>0</v>
      </c>
      <c r="I88" s="162">
        <v>0</v>
      </c>
      <c r="J88" s="162">
        <v>0</v>
      </c>
      <c r="K88" s="162">
        <v>2000000</v>
      </c>
      <c r="L88" s="162">
        <v>2000000</v>
      </c>
      <c r="M88" s="162">
        <v>0</v>
      </c>
      <c r="N88" s="162">
        <v>0</v>
      </c>
    </row>
    <row r="89" spans="1:14" s="161" customFormat="1" x14ac:dyDescent="0.25">
      <c r="A89" s="161" t="s">
        <v>554</v>
      </c>
      <c r="B89" s="161" t="s">
        <v>261</v>
      </c>
      <c r="C89" s="161" t="s">
        <v>262</v>
      </c>
      <c r="D89" s="161" t="s">
        <v>553</v>
      </c>
      <c r="E89" s="162">
        <v>300000000</v>
      </c>
      <c r="F89" s="162">
        <v>300000000</v>
      </c>
      <c r="G89" s="162">
        <v>300000000</v>
      </c>
      <c r="H89" s="162">
        <v>0</v>
      </c>
      <c r="I89" s="162">
        <v>0</v>
      </c>
      <c r="J89" s="162">
        <v>0</v>
      </c>
      <c r="K89" s="162">
        <v>266694271.5</v>
      </c>
      <c r="L89" s="162">
        <v>266694271.5</v>
      </c>
      <c r="M89" s="162">
        <v>33305728.5</v>
      </c>
      <c r="N89" s="162">
        <v>33305728.5</v>
      </c>
    </row>
    <row r="90" spans="1:14" s="161" customFormat="1" x14ac:dyDescent="0.25">
      <c r="A90" s="161" t="s">
        <v>554</v>
      </c>
      <c r="B90" s="161" t="s">
        <v>263</v>
      </c>
      <c r="C90" s="161" t="s">
        <v>264</v>
      </c>
      <c r="D90" s="161" t="s">
        <v>553</v>
      </c>
      <c r="E90" s="162">
        <v>7173000</v>
      </c>
      <c r="F90" s="162">
        <v>7173000</v>
      </c>
      <c r="G90" s="162">
        <v>7173000</v>
      </c>
      <c r="H90" s="162">
        <v>0</v>
      </c>
      <c r="I90" s="162">
        <v>0</v>
      </c>
      <c r="J90" s="162">
        <v>0</v>
      </c>
      <c r="K90" s="162">
        <v>6581323</v>
      </c>
      <c r="L90" s="162">
        <v>6581323</v>
      </c>
      <c r="M90" s="162">
        <v>591677</v>
      </c>
      <c r="N90" s="162">
        <v>591677</v>
      </c>
    </row>
    <row r="91" spans="1:14" s="161" customFormat="1" x14ac:dyDescent="0.25">
      <c r="A91" s="161" t="s">
        <v>554</v>
      </c>
      <c r="B91" s="161" t="s">
        <v>265</v>
      </c>
      <c r="C91" s="161" t="s">
        <v>266</v>
      </c>
      <c r="D91" s="161" t="s">
        <v>553</v>
      </c>
      <c r="E91" s="162">
        <v>3092000</v>
      </c>
      <c r="F91" s="162">
        <v>3092000</v>
      </c>
      <c r="G91" s="162">
        <v>3092000</v>
      </c>
      <c r="H91" s="162">
        <v>0</v>
      </c>
      <c r="I91" s="162">
        <v>0</v>
      </c>
      <c r="J91" s="162">
        <v>0</v>
      </c>
      <c r="K91" s="162">
        <v>2473600.02</v>
      </c>
      <c r="L91" s="162">
        <v>2473600.02</v>
      </c>
      <c r="M91" s="162">
        <v>618399.98</v>
      </c>
      <c r="N91" s="162">
        <v>618399.98</v>
      </c>
    </row>
    <row r="92" spans="1:14" s="161" customFormat="1" x14ac:dyDescent="0.25">
      <c r="A92" s="161" t="s">
        <v>554</v>
      </c>
      <c r="B92" s="161" t="s">
        <v>267</v>
      </c>
      <c r="C92" s="161" t="s">
        <v>268</v>
      </c>
      <c r="D92" s="161" t="s">
        <v>553</v>
      </c>
      <c r="E92" s="162">
        <v>40000000</v>
      </c>
      <c r="F92" s="162">
        <v>40000000</v>
      </c>
      <c r="G92" s="162">
        <v>40000000</v>
      </c>
      <c r="H92" s="162">
        <v>0</v>
      </c>
      <c r="I92" s="162">
        <v>0</v>
      </c>
      <c r="J92" s="162">
        <v>0</v>
      </c>
      <c r="K92" s="162">
        <v>32114471</v>
      </c>
      <c r="L92" s="162">
        <v>32114471</v>
      </c>
      <c r="M92" s="162">
        <v>7885529</v>
      </c>
      <c r="N92" s="162">
        <v>7885529</v>
      </c>
    </row>
    <row r="93" spans="1:14" s="161" customFormat="1" x14ac:dyDescent="0.25">
      <c r="A93" s="161" t="s">
        <v>554</v>
      </c>
      <c r="B93" s="161" t="s">
        <v>269</v>
      </c>
      <c r="C93" s="161" t="s">
        <v>270</v>
      </c>
      <c r="D93" s="161" t="s">
        <v>553</v>
      </c>
      <c r="E93" s="162">
        <v>30000000</v>
      </c>
      <c r="F93" s="162">
        <v>30000000</v>
      </c>
      <c r="G93" s="162">
        <v>30000000</v>
      </c>
      <c r="H93" s="162">
        <v>0</v>
      </c>
      <c r="I93" s="162">
        <v>0</v>
      </c>
      <c r="J93" s="162">
        <v>0</v>
      </c>
      <c r="K93" s="162">
        <v>30000000</v>
      </c>
      <c r="L93" s="162">
        <v>30000000</v>
      </c>
      <c r="M93" s="162">
        <v>0</v>
      </c>
      <c r="N93" s="162">
        <v>0</v>
      </c>
    </row>
    <row r="94" spans="1:14" s="161" customFormat="1" x14ac:dyDescent="0.25">
      <c r="A94" s="161" t="s">
        <v>554</v>
      </c>
      <c r="B94" s="161" t="s">
        <v>271</v>
      </c>
      <c r="C94" s="161" t="s">
        <v>272</v>
      </c>
      <c r="D94" s="161" t="s">
        <v>553</v>
      </c>
      <c r="E94" s="162">
        <v>10000000</v>
      </c>
      <c r="F94" s="162">
        <v>10000000</v>
      </c>
      <c r="G94" s="162">
        <v>10000000</v>
      </c>
      <c r="H94" s="162">
        <v>0</v>
      </c>
      <c r="I94" s="162">
        <v>0</v>
      </c>
      <c r="J94" s="162">
        <v>0</v>
      </c>
      <c r="K94" s="162">
        <v>2114471</v>
      </c>
      <c r="L94" s="162">
        <v>2114471</v>
      </c>
      <c r="M94" s="162">
        <v>7885529</v>
      </c>
      <c r="N94" s="162">
        <v>7885529</v>
      </c>
    </row>
    <row r="95" spans="1:14" s="161" customFormat="1" x14ac:dyDescent="0.25">
      <c r="A95" s="161" t="s">
        <v>554</v>
      </c>
      <c r="B95" s="161" t="s">
        <v>273</v>
      </c>
      <c r="C95" s="161" t="s">
        <v>274</v>
      </c>
      <c r="D95" s="161" t="s">
        <v>553</v>
      </c>
      <c r="E95" s="162">
        <v>3000000</v>
      </c>
      <c r="F95" s="162">
        <v>0</v>
      </c>
      <c r="G95" s="162">
        <v>0</v>
      </c>
      <c r="H95" s="162">
        <v>0</v>
      </c>
      <c r="I95" s="162">
        <v>0</v>
      </c>
      <c r="J95" s="162">
        <v>0</v>
      </c>
      <c r="K95" s="162">
        <v>0</v>
      </c>
      <c r="L95" s="162">
        <v>0</v>
      </c>
      <c r="M95" s="162">
        <v>0</v>
      </c>
      <c r="N95" s="162">
        <v>0</v>
      </c>
    </row>
    <row r="96" spans="1:14" s="161" customFormat="1" x14ac:dyDescent="0.25">
      <c r="A96" s="161" t="s">
        <v>554</v>
      </c>
      <c r="B96" s="161" t="s">
        <v>275</v>
      </c>
      <c r="C96" s="161" t="s">
        <v>276</v>
      </c>
      <c r="D96" s="161" t="s">
        <v>553</v>
      </c>
      <c r="E96" s="162">
        <v>1500000</v>
      </c>
      <c r="F96" s="162">
        <v>0</v>
      </c>
      <c r="G96" s="162">
        <v>0</v>
      </c>
      <c r="H96" s="162">
        <v>0</v>
      </c>
      <c r="I96" s="162">
        <v>0</v>
      </c>
      <c r="J96" s="162">
        <v>0</v>
      </c>
      <c r="K96" s="162">
        <v>0</v>
      </c>
      <c r="L96" s="162">
        <v>0</v>
      </c>
      <c r="M96" s="162">
        <v>0</v>
      </c>
      <c r="N96" s="162">
        <v>0</v>
      </c>
    </row>
    <row r="97" spans="1:14" s="161" customFormat="1" x14ac:dyDescent="0.25">
      <c r="A97" s="161" t="s">
        <v>554</v>
      </c>
      <c r="B97" s="161" t="s">
        <v>277</v>
      </c>
      <c r="C97" s="161" t="s">
        <v>278</v>
      </c>
      <c r="D97" s="161" t="s">
        <v>553</v>
      </c>
      <c r="E97" s="162">
        <v>1500000</v>
      </c>
      <c r="F97" s="162">
        <v>0</v>
      </c>
      <c r="G97" s="162">
        <v>0</v>
      </c>
      <c r="H97" s="162">
        <v>0</v>
      </c>
      <c r="I97" s="162">
        <v>0</v>
      </c>
      <c r="J97" s="162">
        <v>0</v>
      </c>
      <c r="K97" s="162">
        <v>0</v>
      </c>
      <c r="L97" s="162">
        <v>0</v>
      </c>
      <c r="M97" s="162">
        <v>0</v>
      </c>
      <c r="N97" s="162">
        <v>0</v>
      </c>
    </row>
    <row r="98" spans="1:14" s="161" customFormat="1" x14ac:dyDescent="0.25">
      <c r="A98" s="161" t="s">
        <v>554</v>
      </c>
      <c r="B98" s="161" t="s">
        <v>279</v>
      </c>
      <c r="C98" s="161" t="s">
        <v>280</v>
      </c>
      <c r="D98" s="161" t="s">
        <v>553</v>
      </c>
      <c r="E98" s="162">
        <v>401507000</v>
      </c>
      <c r="F98" s="162">
        <v>407413000</v>
      </c>
      <c r="G98" s="162">
        <v>407413000</v>
      </c>
      <c r="H98" s="162">
        <v>0</v>
      </c>
      <c r="I98" s="162">
        <v>0</v>
      </c>
      <c r="J98" s="162">
        <v>0</v>
      </c>
      <c r="K98" s="162">
        <v>405253936.58999997</v>
      </c>
      <c r="L98" s="162">
        <v>405253936.58999997</v>
      </c>
      <c r="M98" s="162">
        <v>2159063.41</v>
      </c>
      <c r="N98" s="162">
        <v>2159063.41</v>
      </c>
    </row>
    <row r="99" spans="1:14" s="161" customFormat="1" x14ac:dyDescent="0.25">
      <c r="A99" s="161" t="s">
        <v>554</v>
      </c>
      <c r="B99" s="161" t="s">
        <v>281</v>
      </c>
      <c r="C99" s="161" t="s">
        <v>282</v>
      </c>
      <c r="D99" s="161" t="s">
        <v>553</v>
      </c>
      <c r="E99" s="162">
        <v>389032000</v>
      </c>
      <c r="F99" s="162">
        <v>389032000</v>
      </c>
      <c r="G99" s="162">
        <v>389032000</v>
      </c>
      <c r="H99" s="162">
        <v>0</v>
      </c>
      <c r="I99" s="162">
        <v>0</v>
      </c>
      <c r="J99" s="162">
        <v>0</v>
      </c>
      <c r="K99" s="162">
        <v>389032000</v>
      </c>
      <c r="L99" s="162">
        <v>389032000</v>
      </c>
      <c r="M99" s="162">
        <v>0</v>
      </c>
      <c r="N99" s="162">
        <v>0</v>
      </c>
    </row>
    <row r="100" spans="1:14" s="161" customFormat="1" x14ac:dyDescent="0.25">
      <c r="A100" s="161" t="s">
        <v>554</v>
      </c>
      <c r="B100" s="161" t="s">
        <v>573</v>
      </c>
      <c r="C100" s="161" t="s">
        <v>597</v>
      </c>
      <c r="D100" s="161" t="s">
        <v>553</v>
      </c>
      <c r="E100" s="162">
        <v>8975000</v>
      </c>
      <c r="F100" s="162">
        <v>15000918</v>
      </c>
      <c r="G100" s="162">
        <v>15000918</v>
      </c>
      <c r="H100" s="162">
        <v>0</v>
      </c>
      <c r="I100" s="162">
        <v>0</v>
      </c>
      <c r="J100" s="162">
        <v>0</v>
      </c>
      <c r="K100" s="162">
        <v>12841855.289999999</v>
      </c>
      <c r="L100" s="162">
        <v>12841855.289999999</v>
      </c>
      <c r="M100" s="162">
        <v>2159062.71</v>
      </c>
      <c r="N100" s="162">
        <v>2159062.71</v>
      </c>
    </row>
    <row r="101" spans="1:14" s="161" customFormat="1" x14ac:dyDescent="0.25">
      <c r="A101" s="161" t="s">
        <v>554</v>
      </c>
      <c r="B101" s="161" t="s">
        <v>283</v>
      </c>
      <c r="C101" s="161" t="s">
        <v>284</v>
      </c>
      <c r="D101" s="161" t="s">
        <v>553</v>
      </c>
      <c r="E101" s="162">
        <v>3500000</v>
      </c>
      <c r="F101" s="162">
        <v>3380082</v>
      </c>
      <c r="G101" s="162">
        <v>3380082</v>
      </c>
      <c r="H101" s="162">
        <v>0</v>
      </c>
      <c r="I101" s="162">
        <v>0</v>
      </c>
      <c r="J101" s="162">
        <v>0</v>
      </c>
      <c r="K101" s="162">
        <v>3380081.3</v>
      </c>
      <c r="L101" s="162">
        <v>3380081.3</v>
      </c>
      <c r="M101" s="162">
        <v>0.7</v>
      </c>
      <c r="N101" s="162">
        <v>0.7</v>
      </c>
    </row>
    <row r="102" spans="1:14" s="161" customFormat="1" x14ac:dyDescent="0.25">
      <c r="A102" s="161" t="s">
        <v>554</v>
      </c>
      <c r="B102" s="161" t="s">
        <v>589</v>
      </c>
      <c r="C102" s="161" t="s">
        <v>590</v>
      </c>
      <c r="D102" s="161" t="s">
        <v>553</v>
      </c>
      <c r="E102" s="162">
        <v>0</v>
      </c>
      <c r="F102" s="162">
        <v>17560000</v>
      </c>
      <c r="G102" s="162">
        <v>17560000</v>
      </c>
      <c r="H102" s="162">
        <v>0</v>
      </c>
      <c r="I102" s="162">
        <v>0</v>
      </c>
      <c r="J102" s="162">
        <v>0</v>
      </c>
      <c r="K102" s="162">
        <v>0</v>
      </c>
      <c r="L102" s="162">
        <v>0</v>
      </c>
      <c r="M102" s="162">
        <v>17560000</v>
      </c>
      <c r="N102" s="162">
        <v>17560000</v>
      </c>
    </row>
    <row r="103" spans="1:14" s="161" customFormat="1" x14ac:dyDescent="0.25">
      <c r="A103" s="161" t="s">
        <v>554</v>
      </c>
      <c r="B103" s="161" t="s">
        <v>587</v>
      </c>
      <c r="C103" s="161" t="s">
        <v>588</v>
      </c>
      <c r="D103" s="161" t="s">
        <v>553</v>
      </c>
      <c r="E103" s="162">
        <v>0</v>
      </c>
      <c r="F103" s="162">
        <v>17560000</v>
      </c>
      <c r="G103" s="162">
        <v>17560000</v>
      </c>
      <c r="H103" s="162">
        <v>0</v>
      </c>
      <c r="I103" s="162">
        <v>0</v>
      </c>
      <c r="J103" s="162">
        <v>0</v>
      </c>
      <c r="K103" s="162">
        <v>0</v>
      </c>
      <c r="L103" s="162">
        <v>0</v>
      </c>
      <c r="M103" s="162">
        <v>17560000</v>
      </c>
      <c r="N103" s="162">
        <v>17560000</v>
      </c>
    </row>
    <row r="104" spans="1:14" s="161" customFormat="1" x14ac:dyDescent="0.25">
      <c r="A104" s="161" t="s">
        <v>554</v>
      </c>
      <c r="B104" s="161" t="s">
        <v>585</v>
      </c>
      <c r="C104" s="161" t="s">
        <v>586</v>
      </c>
      <c r="D104" s="161" t="s">
        <v>553</v>
      </c>
      <c r="E104" s="162">
        <v>0</v>
      </c>
      <c r="F104" s="162">
        <v>17560000</v>
      </c>
      <c r="G104" s="162">
        <v>17560000</v>
      </c>
      <c r="H104" s="162">
        <v>0</v>
      </c>
      <c r="I104" s="162">
        <v>0</v>
      </c>
      <c r="J104" s="162">
        <v>0</v>
      </c>
      <c r="K104" s="162">
        <v>0</v>
      </c>
      <c r="L104" s="162">
        <v>0</v>
      </c>
      <c r="M104" s="162">
        <v>17560000</v>
      </c>
      <c r="N104" s="162">
        <v>17560000</v>
      </c>
    </row>
    <row r="105" spans="1:14" s="161" customFormat="1" x14ac:dyDescent="0.25">
      <c r="A105" s="161">
        <v>214780</v>
      </c>
      <c r="B105" s="161" t="s">
        <v>602</v>
      </c>
      <c r="C105" s="161" t="s">
        <v>602</v>
      </c>
      <c r="D105" s="161" t="s">
        <v>553</v>
      </c>
      <c r="E105" s="162">
        <v>1255933000</v>
      </c>
      <c r="F105" s="162">
        <v>1034622551</v>
      </c>
      <c r="G105" s="162">
        <v>1034622550</v>
      </c>
      <c r="H105" s="162">
        <v>0</v>
      </c>
      <c r="I105" s="162">
        <v>7452690.6399999997</v>
      </c>
      <c r="J105" s="162">
        <v>0</v>
      </c>
      <c r="K105" s="162">
        <v>937922572.63</v>
      </c>
      <c r="L105" s="162">
        <v>920858300.59000003</v>
      </c>
      <c r="M105" s="162">
        <v>89247287.730000004</v>
      </c>
      <c r="N105" s="162">
        <v>89247286.730000004</v>
      </c>
    </row>
    <row r="106" spans="1:14" s="161" customFormat="1" x14ac:dyDescent="0.25">
      <c r="A106" s="161" t="s">
        <v>556</v>
      </c>
      <c r="B106" s="161" t="s">
        <v>92</v>
      </c>
      <c r="C106" s="161" t="s">
        <v>93</v>
      </c>
      <c r="D106" s="161" t="s">
        <v>553</v>
      </c>
      <c r="E106" s="162">
        <v>1043285000</v>
      </c>
      <c r="F106" s="162">
        <v>820497351</v>
      </c>
      <c r="G106" s="162">
        <v>820497350</v>
      </c>
      <c r="H106" s="162">
        <v>0</v>
      </c>
      <c r="I106" s="162">
        <v>0</v>
      </c>
      <c r="J106" s="162">
        <v>0</v>
      </c>
      <c r="K106" s="162">
        <v>759561758.28999996</v>
      </c>
      <c r="L106" s="162">
        <v>759561758.28999996</v>
      </c>
      <c r="M106" s="162">
        <v>60935592.710000001</v>
      </c>
      <c r="N106" s="162">
        <v>60935591.710000001</v>
      </c>
    </row>
    <row r="107" spans="1:14" s="161" customFormat="1" x14ac:dyDescent="0.25">
      <c r="A107" s="161" t="s">
        <v>556</v>
      </c>
      <c r="B107" s="161" t="s">
        <v>94</v>
      </c>
      <c r="C107" s="161" t="s">
        <v>95</v>
      </c>
      <c r="D107" s="161" t="s">
        <v>553</v>
      </c>
      <c r="E107" s="162">
        <v>415877000</v>
      </c>
      <c r="F107" s="162">
        <v>344741351</v>
      </c>
      <c r="G107" s="162">
        <v>344741350</v>
      </c>
      <c r="H107" s="162">
        <v>0</v>
      </c>
      <c r="I107" s="162">
        <v>0</v>
      </c>
      <c r="J107" s="162">
        <v>0</v>
      </c>
      <c r="K107" s="162">
        <v>296355496.54000002</v>
      </c>
      <c r="L107" s="162">
        <v>296355496.54000002</v>
      </c>
      <c r="M107" s="162">
        <v>48385854.460000001</v>
      </c>
      <c r="N107" s="162">
        <v>48385853.460000001</v>
      </c>
    </row>
    <row r="108" spans="1:14" s="161" customFormat="1" x14ac:dyDescent="0.25">
      <c r="A108" s="161" t="s">
        <v>556</v>
      </c>
      <c r="B108" s="161" t="s">
        <v>96</v>
      </c>
      <c r="C108" s="161" t="s">
        <v>97</v>
      </c>
      <c r="D108" s="161" t="s">
        <v>553</v>
      </c>
      <c r="E108" s="162">
        <v>415877000</v>
      </c>
      <c r="F108" s="162">
        <v>344741351</v>
      </c>
      <c r="G108" s="162">
        <v>344741350</v>
      </c>
      <c r="H108" s="162">
        <v>0</v>
      </c>
      <c r="I108" s="162">
        <v>0</v>
      </c>
      <c r="J108" s="162">
        <v>0</v>
      </c>
      <c r="K108" s="162">
        <v>296355496.54000002</v>
      </c>
      <c r="L108" s="162">
        <v>296355496.54000002</v>
      </c>
      <c r="M108" s="162">
        <v>48385854.460000001</v>
      </c>
      <c r="N108" s="162">
        <v>48385853.460000001</v>
      </c>
    </row>
    <row r="109" spans="1:14" s="161" customFormat="1" x14ac:dyDescent="0.25">
      <c r="A109" s="161" t="s">
        <v>556</v>
      </c>
      <c r="B109" s="161" t="s">
        <v>102</v>
      </c>
      <c r="C109" s="161" t="s">
        <v>103</v>
      </c>
      <c r="D109" s="161" t="s">
        <v>553</v>
      </c>
      <c r="E109" s="162">
        <v>468875000</v>
      </c>
      <c r="F109" s="162">
        <v>341625000</v>
      </c>
      <c r="G109" s="162">
        <v>341625000</v>
      </c>
      <c r="H109" s="162">
        <v>0</v>
      </c>
      <c r="I109" s="162">
        <v>0</v>
      </c>
      <c r="J109" s="162">
        <v>0</v>
      </c>
      <c r="K109" s="162">
        <v>329507786.75</v>
      </c>
      <c r="L109" s="162">
        <v>329507786.75</v>
      </c>
      <c r="M109" s="162">
        <v>12117213.25</v>
      </c>
      <c r="N109" s="162">
        <v>12117213.25</v>
      </c>
    </row>
    <row r="110" spans="1:14" s="161" customFormat="1" x14ac:dyDescent="0.25">
      <c r="A110" s="161" t="s">
        <v>556</v>
      </c>
      <c r="B110" s="161" t="s">
        <v>104</v>
      </c>
      <c r="C110" s="161" t="s">
        <v>105</v>
      </c>
      <c r="D110" s="161" t="s">
        <v>553</v>
      </c>
      <c r="E110" s="162">
        <v>79992000</v>
      </c>
      <c r="F110" s="162">
        <v>64192000</v>
      </c>
      <c r="G110" s="162">
        <v>64192000</v>
      </c>
      <c r="H110" s="162">
        <v>0</v>
      </c>
      <c r="I110" s="162">
        <v>0</v>
      </c>
      <c r="J110" s="162">
        <v>0</v>
      </c>
      <c r="K110" s="162">
        <v>60873696.969999999</v>
      </c>
      <c r="L110" s="162">
        <v>60873696.969999999</v>
      </c>
      <c r="M110" s="162">
        <v>3318303.03</v>
      </c>
      <c r="N110" s="162">
        <v>3318303.03</v>
      </c>
    </row>
    <row r="111" spans="1:14" s="161" customFormat="1" x14ac:dyDescent="0.25">
      <c r="A111" s="161" t="s">
        <v>556</v>
      </c>
      <c r="B111" s="161" t="s">
        <v>106</v>
      </c>
      <c r="C111" s="161" t="s">
        <v>107</v>
      </c>
      <c r="D111" s="161" t="s">
        <v>553</v>
      </c>
      <c r="E111" s="162">
        <v>248697000</v>
      </c>
      <c r="F111" s="162">
        <v>153947000</v>
      </c>
      <c r="G111" s="162">
        <v>153947000</v>
      </c>
      <c r="H111" s="162">
        <v>0</v>
      </c>
      <c r="I111" s="162">
        <v>0</v>
      </c>
      <c r="J111" s="162">
        <v>0</v>
      </c>
      <c r="K111" s="162">
        <v>148639198.22999999</v>
      </c>
      <c r="L111" s="162">
        <v>148639198.22999999</v>
      </c>
      <c r="M111" s="162">
        <v>5307801.7699999996</v>
      </c>
      <c r="N111" s="162">
        <v>5307801.7699999996</v>
      </c>
    </row>
    <row r="112" spans="1:14" s="161" customFormat="1" x14ac:dyDescent="0.25">
      <c r="A112" s="161" t="s">
        <v>556</v>
      </c>
      <c r="B112" s="161" t="s">
        <v>108</v>
      </c>
      <c r="C112" s="161" t="s">
        <v>109</v>
      </c>
      <c r="D112" s="161" t="s">
        <v>553</v>
      </c>
      <c r="E112" s="162">
        <v>43990000</v>
      </c>
      <c r="F112" s="162">
        <v>44290000</v>
      </c>
      <c r="G112" s="162">
        <v>44290000</v>
      </c>
      <c r="H112" s="162">
        <v>0</v>
      </c>
      <c r="I112" s="162">
        <v>0</v>
      </c>
      <c r="J112" s="162">
        <v>0</v>
      </c>
      <c r="K112" s="162">
        <v>43877811.079999998</v>
      </c>
      <c r="L112" s="162">
        <v>43877811.079999998</v>
      </c>
      <c r="M112" s="162">
        <v>412188.92</v>
      </c>
      <c r="N112" s="162">
        <v>412188.92</v>
      </c>
    </row>
    <row r="113" spans="1:14" s="161" customFormat="1" x14ac:dyDescent="0.25">
      <c r="A113" s="161" t="s">
        <v>556</v>
      </c>
      <c r="B113" s="161" t="s">
        <v>110</v>
      </c>
      <c r="C113" s="161" t="s">
        <v>111</v>
      </c>
      <c r="D113" s="161" t="s">
        <v>553</v>
      </c>
      <c r="E113" s="162">
        <v>31572000</v>
      </c>
      <c r="F113" s="162">
        <v>28572000</v>
      </c>
      <c r="G113" s="162">
        <v>28572000</v>
      </c>
      <c r="H113" s="162">
        <v>0</v>
      </c>
      <c r="I113" s="162">
        <v>0</v>
      </c>
      <c r="J113" s="162">
        <v>0</v>
      </c>
      <c r="K113" s="162">
        <v>28300605.809999999</v>
      </c>
      <c r="L113" s="162">
        <v>28300605.809999999</v>
      </c>
      <c r="M113" s="162">
        <v>271394.19</v>
      </c>
      <c r="N113" s="162">
        <v>271394.19</v>
      </c>
    </row>
    <row r="114" spans="1:14" s="161" customFormat="1" x14ac:dyDescent="0.25">
      <c r="A114" s="161" t="s">
        <v>556</v>
      </c>
      <c r="B114" s="161" t="s">
        <v>112</v>
      </c>
      <c r="C114" s="161" t="s">
        <v>113</v>
      </c>
      <c r="D114" s="161" t="s">
        <v>555</v>
      </c>
      <c r="E114" s="162">
        <v>64624000</v>
      </c>
      <c r="F114" s="162">
        <v>50624000</v>
      </c>
      <c r="G114" s="162">
        <v>50624000</v>
      </c>
      <c r="H114" s="162">
        <v>0</v>
      </c>
      <c r="I114" s="162">
        <v>0</v>
      </c>
      <c r="J114" s="162">
        <v>0</v>
      </c>
      <c r="K114" s="162">
        <v>47816474.659999996</v>
      </c>
      <c r="L114" s="162">
        <v>47816474.659999996</v>
      </c>
      <c r="M114" s="162">
        <v>2807525.34</v>
      </c>
      <c r="N114" s="162">
        <v>2807525.34</v>
      </c>
    </row>
    <row r="115" spans="1:14" s="161" customFormat="1" x14ac:dyDescent="0.25">
      <c r="A115" s="161" t="s">
        <v>556</v>
      </c>
      <c r="B115" s="161" t="s">
        <v>114</v>
      </c>
      <c r="C115" s="161" t="s">
        <v>115</v>
      </c>
      <c r="D115" s="161" t="s">
        <v>553</v>
      </c>
      <c r="E115" s="162">
        <v>79963000</v>
      </c>
      <c r="F115" s="162">
        <v>67011000</v>
      </c>
      <c r="G115" s="162">
        <v>67011000</v>
      </c>
      <c r="H115" s="162">
        <v>0</v>
      </c>
      <c r="I115" s="162">
        <v>0</v>
      </c>
      <c r="J115" s="162">
        <v>0</v>
      </c>
      <c r="K115" s="162">
        <v>66887467</v>
      </c>
      <c r="L115" s="162">
        <v>66887467</v>
      </c>
      <c r="M115" s="162">
        <v>123533</v>
      </c>
      <c r="N115" s="162">
        <v>123533</v>
      </c>
    </row>
    <row r="116" spans="1:14" s="161" customFormat="1" x14ac:dyDescent="0.25">
      <c r="A116" s="161" t="s">
        <v>556</v>
      </c>
      <c r="B116" s="161" t="s">
        <v>307</v>
      </c>
      <c r="C116" s="161" t="s">
        <v>578</v>
      </c>
      <c r="D116" s="161" t="s">
        <v>553</v>
      </c>
      <c r="E116" s="162">
        <v>75862000</v>
      </c>
      <c r="F116" s="162">
        <v>63432000</v>
      </c>
      <c r="G116" s="162">
        <v>63432000</v>
      </c>
      <c r="H116" s="162">
        <v>0</v>
      </c>
      <c r="I116" s="162">
        <v>0</v>
      </c>
      <c r="J116" s="162">
        <v>0</v>
      </c>
      <c r="K116" s="162">
        <v>63429826</v>
      </c>
      <c r="L116" s="162">
        <v>63429826</v>
      </c>
      <c r="M116" s="162">
        <v>2174</v>
      </c>
      <c r="N116" s="162">
        <v>2174</v>
      </c>
    </row>
    <row r="117" spans="1:14" s="161" customFormat="1" x14ac:dyDescent="0.25">
      <c r="A117" s="161" t="s">
        <v>556</v>
      </c>
      <c r="B117" s="161" t="s">
        <v>308</v>
      </c>
      <c r="C117" s="161" t="s">
        <v>596</v>
      </c>
      <c r="D117" s="161" t="s">
        <v>553</v>
      </c>
      <c r="E117" s="162">
        <v>4101000</v>
      </c>
      <c r="F117" s="162">
        <v>3579000</v>
      </c>
      <c r="G117" s="162">
        <v>3579000</v>
      </c>
      <c r="H117" s="162">
        <v>0</v>
      </c>
      <c r="I117" s="162">
        <v>0</v>
      </c>
      <c r="J117" s="162">
        <v>0</v>
      </c>
      <c r="K117" s="162">
        <v>3457641</v>
      </c>
      <c r="L117" s="162">
        <v>3457641</v>
      </c>
      <c r="M117" s="162">
        <v>121359</v>
      </c>
      <c r="N117" s="162">
        <v>121359</v>
      </c>
    </row>
    <row r="118" spans="1:14" s="161" customFormat="1" x14ac:dyDescent="0.25">
      <c r="A118" s="161" t="s">
        <v>556</v>
      </c>
      <c r="B118" s="161" t="s">
        <v>118</v>
      </c>
      <c r="C118" s="161" t="s">
        <v>119</v>
      </c>
      <c r="D118" s="161" t="s">
        <v>553</v>
      </c>
      <c r="E118" s="162">
        <v>78570000</v>
      </c>
      <c r="F118" s="162">
        <v>67120000</v>
      </c>
      <c r="G118" s="162">
        <v>67120000</v>
      </c>
      <c r="H118" s="162">
        <v>0</v>
      </c>
      <c r="I118" s="162">
        <v>0</v>
      </c>
      <c r="J118" s="162">
        <v>0</v>
      </c>
      <c r="K118" s="162">
        <v>66811008</v>
      </c>
      <c r="L118" s="162">
        <v>66811008</v>
      </c>
      <c r="M118" s="162">
        <v>308992</v>
      </c>
      <c r="N118" s="162">
        <v>308992</v>
      </c>
    </row>
    <row r="119" spans="1:14" s="161" customFormat="1" x14ac:dyDescent="0.25">
      <c r="A119" s="161" t="s">
        <v>556</v>
      </c>
      <c r="B119" s="161" t="s">
        <v>309</v>
      </c>
      <c r="C119" s="161" t="s">
        <v>121</v>
      </c>
      <c r="D119" s="161" t="s">
        <v>553</v>
      </c>
      <c r="E119" s="162">
        <v>41663000</v>
      </c>
      <c r="F119" s="162">
        <v>35423000</v>
      </c>
      <c r="G119" s="162">
        <v>35423000</v>
      </c>
      <c r="H119" s="162">
        <v>0</v>
      </c>
      <c r="I119" s="162">
        <v>0</v>
      </c>
      <c r="J119" s="162">
        <v>0</v>
      </c>
      <c r="K119" s="162">
        <v>35398367</v>
      </c>
      <c r="L119" s="162">
        <v>35398367</v>
      </c>
      <c r="M119" s="162">
        <v>24633</v>
      </c>
      <c r="N119" s="162">
        <v>24633</v>
      </c>
    </row>
    <row r="120" spans="1:14" s="161" customFormat="1" x14ac:dyDescent="0.25">
      <c r="A120" s="161" t="s">
        <v>556</v>
      </c>
      <c r="B120" s="161" t="s">
        <v>310</v>
      </c>
      <c r="C120" s="161" t="s">
        <v>123</v>
      </c>
      <c r="D120" s="161" t="s">
        <v>553</v>
      </c>
      <c r="E120" s="162">
        <v>12303000</v>
      </c>
      <c r="F120" s="162">
        <v>10733000</v>
      </c>
      <c r="G120" s="162">
        <v>10733000</v>
      </c>
      <c r="H120" s="162">
        <v>0</v>
      </c>
      <c r="I120" s="162">
        <v>0</v>
      </c>
      <c r="J120" s="162">
        <v>0</v>
      </c>
      <c r="K120" s="162">
        <v>10666866</v>
      </c>
      <c r="L120" s="162">
        <v>10666866</v>
      </c>
      <c r="M120" s="162">
        <v>66134</v>
      </c>
      <c r="N120" s="162">
        <v>66134</v>
      </c>
    </row>
    <row r="121" spans="1:14" s="161" customFormat="1" x14ac:dyDescent="0.25">
      <c r="A121" s="161" t="s">
        <v>556</v>
      </c>
      <c r="B121" s="161" t="s">
        <v>311</v>
      </c>
      <c r="C121" s="161" t="s">
        <v>125</v>
      </c>
      <c r="D121" s="161" t="s">
        <v>553</v>
      </c>
      <c r="E121" s="162">
        <v>24604000</v>
      </c>
      <c r="F121" s="162">
        <v>20964000</v>
      </c>
      <c r="G121" s="162">
        <v>20964000</v>
      </c>
      <c r="H121" s="162">
        <v>0</v>
      </c>
      <c r="I121" s="162">
        <v>0</v>
      </c>
      <c r="J121" s="162">
        <v>0</v>
      </c>
      <c r="K121" s="162">
        <v>20745775</v>
      </c>
      <c r="L121" s="162">
        <v>20745775</v>
      </c>
      <c r="M121" s="162">
        <v>218225</v>
      </c>
      <c r="N121" s="162">
        <v>218225</v>
      </c>
    </row>
    <row r="122" spans="1:14" s="161" customFormat="1" x14ac:dyDescent="0.25">
      <c r="A122" s="161" t="s">
        <v>556</v>
      </c>
      <c r="B122" s="161" t="s">
        <v>126</v>
      </c>
      <c r="C122" s="161" t="s">
        <v>127</v>
      </c>
      <c r="D122" s="161" t="s">
        <v>553</v>
      </c>
      <c r="E122" s="162">
        <v>154113000</v>
      </c>
      <c r="F122" s="162">
        <v>145152200</v>
      </c>
      <c r="G122" s="162">
        <v>145152200</v>
      </c>
      <c r="H122" s="162">
        <v>0</v>
      </c>
      <c r="I122" s="162">
        <v>5902488.6399999997</v>
      </c>
      <c r="J122" s="162">
        <v>0</v>
      </c>
      <c r="K122" s="162">
        <v>126991884.34999999</v>
      </c>
      <c r="L122" s="162">
        <v>112669517.31</v>
      </c>
      <c r="M122" s="162">
        <v>12257827.01</v>
      </c>
      <c r="N122" s="162">
        <v>12257827.01</v>
      </c>
    </row>
    <row r="123" spans="1:14" s="161" customFormat="1" x14ac:dyDescent="0.25">
      <c r="A123" s="161" t="s">
        <v>556</v>
      </c>
      <c r="B123" s="161" t="s">
        <v>128</v>
      </c>
      <c r="C123" s="161" t="s">
        <v>129</v>
      </c>
      <c r="D123" s="161" t="s">
        <v>553</v>
      </c>
      <c r="E123" s="162">
        <v>92041000</v>
      </c>
      <c r="F123" s="162">
        <v>85078040</v>
      </c>
      <c r="G123" s="162">
        <v>85078040</v>
      </c>
      <c r="H123" s="162">
        <v>0</v>
      </c>
      <c r="I123" s="162">
        <v>395502.84</v>
      </c>
      <c r="J123" s="162">
        <v>0</v>
      </c>
      <c r="K123" s="162">
        <v>81829340.569999993</v>
      </c>
      <c r="L123" s="162">
        <v>72517952.530000001</v>
      </c>
      <c r="M123" s="162">
        <v>2853196.59</v>
      </c>
      <c r="N123" s="162">
        <v>2853196.59</v>
      </c>
    </row>
    <row r="124" spans="1:14" s="161" customFormat="1" x14ac:dyDescent="0.25">
      <c r="A124" s="161" t="s">
        <v>556</v>
      </c>
      <c r="B124" s="161" t="s">
        <v>312</v>
      </c>
      <c r="C124" s="161" t="s">
        <v>313</v>
      </c>
      <c r="D124" s="161" t="s">
        <v>553</v>
      </c>
      <c r="E124" s="162">
        <v>76041000</v>
      </c>
      <c r="F124" s="162">
        <v>67968040</v>
      </c>
      <c r="G124" s="162">
        <v>67968040</v>
      </c>
      <c r="H124" s="162">
        <v>0</v>
      </c>
      <c r="I124" s="162">
        <v>0</v>
      </c>
      <c r="J124" s="162">
        <v>0</v>
      </c>
      <c r="K124" s="162">
        <v>65715392.200000003</v>
      </c>
      <c r="L124" s="162">
        <v>60042006.530000001</v>
      </c>
      <c r="M124" s="162">
        <v>2252647.7999999998</v>
      </c>
      <c r="N124" s="162">
        <v>2252647.7999999998</v>
      </c>
    </row>
    <row r="125" spans="1:14" s="161" customFormat="1" x14ac:dyDescent="0.25">
      <c r="A125" s="161" t="s">
        <v>556</v>
      </c>
      <c r="B125" s="161" t="s">
        <v>130</v>
      </c>
      <c r="C125" s="161" t="s">
        <v>131</v>
      </c>
      <c r="D125" s="161" t="s">
        <v>553</v>
      </c>
      <c r="E125" s="162">
        <v>16000000</v>
      </c>
      <c r="F125" s="162">
        <v>17110000</v>
      </c>
      <c r="G125" s="162">
        <v>17110000</v>
      </c>
      <c r="H125" s="162">
        <v>0</v>
      </c>
      <c r="I125" s="162">
        <v>395502.84</v>
      </c>
      <c r="J125" s="162">
        <v>0</v>
      </c>
      <c r="K125" s="162">
        <v>16113948.369999999</v>
      </c>
      <c r="L125" s="162">
        <v>12475946</v>
      </c>
      <c r="M125" s="162">
        <v>600548.79</v>
      </c>
      <c r="N125" s="162">
        <v>600548.79</v>
      </c>
    </row>
    <row r="126" spans="1:14" s="161" customFormat="1" x14ac:dyDescent="0.25">
      <c r="A126" s="161" t="s">
        <v>556</v>
      </c>
      <c r="B126" s="161" t="s">
        <v>134</v>
      </c>
      <c r="C126" s="161" t="s">
        <v>135</v>
      </c>
      <c r="D126" s="161" t="s">
        <v>553</v>
      </c>
      <c r="E126" s="162">
        <v>22562000</v>
      </c>
      <c r="F126" s="162">
        <v>22538700</v>
      </c>
      <c r="G126" s="162">
        <v>22538700</v>
      </c>
      <c r="H126" s="162">
        <v>0</v>
      </c>
      <c r="I126" s="162">
        <v>3095768</v>
      </c>
      <c r="J126" s="162">
        <v>0</v>
      </c>
      <c r="K126" s="162">
        <v>14444976</v>
      </c>
      <c r="L126" s="162">
        <v>13127477</v>
      </c>
      <c r="M126" s="162">
        <v>4997956</v>
      </c>
      <c r="N126" s="162">
        <v>4997956</v>
      </c>
    </row>
    <row r="127" spans="1:14" s="161" customFormat="1" x14ac:dyDescent="0.25">
      <c r="A127" s="161" t="s">
        <v>556</v>
      </c>
      <c r="B127" s="161" t="s">
        <v>136</v>
      </c>
      <c r="C127" s="161" t="s">
        <v>137</v>
      </c>
      <c r="D127" s="161" t="s">
        <v>553</v>
      </c>
      <c r="E127" s="162">
        <v>2000000</v>
      </c>
      <c r="F127" s="162">
        <v>1976700</v>
      </c>
      <c r="G127" s="162">
        <v>1976700</v>
      </c>
      <c r="H127" s="162">
        <v>0</v>
      </c>
      <c r="I127" s="162">
        <v>90000</v>
      </c>
      <c r="J127" s="162">
        <v>0</v>
      </c>
      <c r="K127" s="162">
        <v>971065</v>
      </c>
      <c r="L127" s="162">
        <v>971065</v>
      </c>
      <c r="M127" s="162">
        <v>915635</v>
      </c>
      <c r="N127" s="162">
        <v>915635</v>
      </c>
    </row>
    <row r="128" spans="1:14" s="161" customFormat="1" x14ac:dyDescent="0.25">
      <c r="A128" s="161" t="s">
        <v>556</v>
      </c>
      <c r="B128" s="161" t="s">
        <v>138</v>
      </c>
      <c r="C128" s="161" t="s">
        <v>139</v>
      </c>
      <c r="D128" s="161" t="s">
        <v>553</v>
      </c>
      <c r="E128" s="162">
        <v>6000000</v>
      </c>
      <c r="F128" s="162">
        <v>6000000</v>
      </c>
      <c r="G128" s="162">
        <v>6000000</v>
      </c>
      <c r="H128" s="162">
        <v>0</v>
      </c>
      <c r="I128" s="162">
        <v>831990</v>
      </c>
      <c r="J128" s="162">
        <v>0</v>
      </c>
      <c r="K128" s="162">
        <v>3154992</v>
      </c>
      <c r="L128" s="162">
        <v>2877171</v>
      </c>
      <c r="M128" s="162">
        <v>2013018</v>
      </c>
      <c r="N128" s="162">
        <v>2013018</v>
      </c>
    </row>
    <row r="129" spans="1:14" s="161" customFormat="1" x14ac:dyDescent="0.25">
      <c r="A129" s="161" t="s">
        <v>556</v>
      </c>
      <c r="B129" s="161" t="s">
        <v>140</v>
      </c>
      <c r="C129" s="161" t="s">
        <v>141</v>
      </c>
      <c r="D129" s="161" t="s">
        <v>553</v>
      </c>
      <c r="E129" s="162">
        <v>500000</v>
      </c>
      <c r="F129" s="162">
        <v>500000</v>
      </c>
      <c r="G129" s="162">
        <v>500000</v>
      </c>
      <c r="H129" s="162">
        <v>0</v>
      </c>
      <c r="I129" s="162">
        <v>0</v>
      </c>
      <c r="J129" s="162">
        <v>0</v>
      </c>
      <c r="K129" s="162">
        <v>0</v>
      </c>
      <c r="L129" s="162">
        <v>0</v>
      </c>
      <c r="M129" s="162">
        <v>500000</v>
      </c>
      <c r="N129" s="162">
        <v>500000</v>
      </c>
    </row>
    <row r="130" spans="1:14" s="161" customFormat="1" x14ac:dyDescent="0.25">
      <c r="A130" s="161" t="s">
        <v>556</v>
      </c>
      <c r="B130" s="161" t="s">
        <v>142</v>
      </c>
      <c r="C130" s="161" t="s">
        <v>143</v>
      </c>
      <c r="D130" s="161" t="s">
        <v>553</v>
      </c>
      <c r="E130" s="162">
        <v>14062000</v>
      </c>
      <c r="F130" s="162">
        <v>14062000</v>
      </c>
      <c r="G130" s="162">
        <v>14062000</v>
      </c>
      <c r="H130" s="162">
        <v>0</v>
      </c>
      <c r="I130" s="162">
        <v>2173778</v>
      </c>
      <c r="J130" s="162">
        <v>0</v>
      </c>
      <c r="K130" s="162">
        <v>10318919</v>
      </c>
      <c r="L130" s="162">
        <v>9279241</v>
      </c>
      <c r="M130" s="162">
        <v>1569303</v>
      </c>
      <c r="N130" s="162">
        <v>1569303</v>
      </c>
    </row>
    <row r="131" spans="1:14" s="161" customFormat="1" x14ac:dyDescent="0.25">
      <c r="A131" s="161" t="s">
        <v>556</v>
      </c>
      <c r="B131" s="161" t="s">
        <v>146</v>
      </c>
      <c r="C131" s="161" t="s">
        <v>147</v>
      </c>
      <c r="D131" s="161" t="s">
        <v>553</v>
      </c>
      <c r="E131" s="162">
        <v>3169500</v>
      </c>
      <c r="F131" s="162">
        <v>3352960</v>
      </c>
      <c r="G131" s="162">
        <v>3352960</v>
      </c>
      <c r="H131" s="162">
        <v>0</v>
      </c>
      <c r="I131" s="162">
        <v>0</v>
      </c>
      <c r="J131" s="162">
        <v>0</v>
      </c>
      <c r="K131" s="162">
        <v>3168060</v>
      </c>
      <c r="L131" s="162">
        <v>3168060</v>
      </c>
      <c r="M131" s="162">
        <v>184900</v>
      </c>
      <c r="N131" s="162">
        <v>184900</v>
      </c>
    </row>
    <row r="132" spans="1:14" s="161" customFormat="1" x14ac:dyDescent="0.25">
      <c r="A132" s="161" t="s">
        <v>556</v>
      </c>
      <c r="B132" s="161" t="s">
        <v>148</v>
      </c>
      <c r="C132" s="161" t="s">
        <v>149</v>
      </c>
      <c r="D132" s="161" t="s">
        <v>553</v>
      </c>
      <c r="E132" s="162">
        <v>1000000</v>
      </c>
      <c r="F132" s="162">
        <v>250000</v>
      </c>
      <c r="G132" s="162">
        <v>250000</v>
      </c>
      <c r="H132" s="162">
        <v>0</v>
      </c>
      <c r="I132" s="162">
        <v>0</v>
      </c>
      <c r="J132" s="162">
        <v>0</v>
      </c>
      <c r="K132" s="162">
        <v>66810</v>
      </c>
      <c r="L132" s="162">
        <v>66810</v>
      </c>
      <c r="M132" s="162">
        <v>183190</v>
      </c>
      <c r="N132" s="162">
        <v>183190</v>
      </c>
    </row>
    <row r="133" spans="1:14" s="161" customFormat="1" x14ac:dyDescent="0.25">
      <c r="A133" s="161" t="s">
        <v>556</v>
      </c>
      <c r="B133" s="161" t="s">
        <v>314</v>
      </c>
      <c r="C133" s="161" t="s">
        <v>315</v>
      </c>
      <c r="D133" s="161" t="s">
        <v>553</v>
      </c>
      <c r="E133" s="162">
        <v>169500</v>
      </c>
      <c r="F133" s="162">
        <v>97250</v>
      </c>
      <c r="G133" s="162">
        <v>97250</v>
      </c>
      <c r="H133" s="162">
        <v>0</v>
      </c>
      <c r="I133" s="162">
        <v>0</v>
      </c>
      <c r="J133" s="162">
        <v>0</v>
      </c>
      <c r="K133" s="162">
        <v>97250</v>
      </c>
      <c r="L133" s="162">
        <v>97250</v>
      </c>
      <c r="M133" s="162">
        <v>0</v>
      </c>
      <c r="N133" s="162">
        <v>0</v>
      </c>
    </row>
    <row r="134" spans="1:14" s="161" customFormat="1" x14ac:dyDescent="0.25">
      <c r="A134" s="161" t="s">
        <v>556</v>
      </c>
      <c r="B134" s="161" t="s">
        <v>150</v>
      </c>
      <c r="C134" s="161" t="s">
        <v>151</v>
      </c>
      <c r="D134" s="161" t="s">
        <v>553</v>
      </c>
      <c r="E134" s="162">
        <v>2000000</v>
      </c>
      <c r="F134" s="162">
        <v>3005710</v>
      </c>
      <c r="G134" s="162">
        <v>3005710</v>
      </c>
      <c r="H134" s="162">
        <v>0</v>
      </c>
      <c r="I134" s="162">
        <v>0</v>
      </c>
      <c r="J134" s="162">
        <v>0</v>
      </c>
      <c r="K134" s="162">
        <v>3004000</v>
      </c>
      <c r="L134" s="162">
        <v>3004000</v>
      </c>
      <c r="M134" s="162">
        <v>1710</v>
      </c>
      <c r="N134" s="162">
        <v>1710</v>
      </c>
    </row>
    <row r="135" spans="1:14" s="161" customFormat="1" x14ac:dyDescent="0.25">
      <c r="A135" s="161" t="s">
        <v>556</v>
      </c>
      <c r="B135" s="161" t="s">
        <v>154</v>
      </c>
      <c r="C135" s="161" t="s">
        <v>155</v>
      </c>
      <c r="D135" s="161" t="s">
        <v>553</v>
      </c>
      <c r="E135" s="162">
        <v>4800000</v>
      </c>
      <c r="F135" s="162">
        <v>3440000</v>
      </c>
      <c r="G135" s="162">
        <v>3440000</v>
      </c>
      <c r="H135" s="162">
        <v>0</v>
      </c>
      <c r="I135" s="162">
        <v>1017240</v>
      </c>
      <c r="J135" s="162">
        <v>0</v>
      </c>
      <c r="K135" s="162">
        <v>1486000</v>
      </c>
      <c r="L135" s="162">
        <v>450000</v>
      </c>
      <c r="M135" s="162">
        <v>936760</v>
      </c>
      <c r="N135" s="162">
        <v>936760</v>
      </c>
    </row>
    <row r="136" spans="1:14" s="161" customFormat="1" x14ac:dyDescent="0.25">
      <c r="A136" s="161" t="s">
        <v>556</v>
      </c>
      <c r="B136" s="161" t="s">
        <v>157</v>
      </c>
      <c r="C136" s="161" t="s">
        <v>158</v>
      </c>
      <c r="D136" s="161" t="s">
        <v>553</v>
      </c>
      <c r="E136" s="162">
        <v>3300000</v>
      </c>
      <c r="F136" s="162">
        <v>2850000</v>
      </c>
      <c r="G136" s="162">
        <v>2850000</v>
      </c>
      <c r="H136" s="162">
        <v>0</v>
      </c>
      <c r="I136" s="162">
        <v>1017240</v>
      </c>
      <c r="J136" s="162">
        <v>0</v>
      </c>
      <c r="K136" s="162">
        <v>986000</v>
      </c>
      <c r="L136" s="162">
        <v>0</v>
      </c>
      <c r="M136" s="162">
        <v>846760</v>
      </c>
      <c r="N136" s="162">
        <v>846760</v>
      </c>
    </row>
    <row r="137" spans="1:14" s="161" customFormat="1" x14ac:dyDescent="0.25">
      <c r="A137" s="161" t="s">
        <v>556</v>
      </c>
      <c r="B137" s="161" t="s">
        <v>159</v>
      </c>
      <c r="C137" s="161" t="s">
        <v>160</v>
      </c>
      <c r="D137" s="161" t="s">
        <v>553</v>
      </c>
      <c r="E137" s="162">
        <v>1500000</v>
      </c>
      <c r="F137" s="162">
        <v>590000</v>
      </c>
      <c r="G137" s="162">
        <v>590000</v>
      </c>
      <c r="H137" s="162">
        <v>0</v>
      </c>
      <c r="I137" s="162">
        <v>0</v>
      </c>
      <c r="J137" s="162">
        <v>0</v>
      </c>
      <c r="K137" s="162">
        <v>500000</v>
      </c>
      <c r="L137" s="162">
        <v>450000</v>
      </c>
      <c r="M137" s="162">
        <v>90000</v>
      </c>
      <c r="N137" s="162">
        <v>90000</v>
      </c>
    </row>
    <row r="138" spans="1:14" s="161" customFormat="1" x14ac:dyDescent="0.25">
      <c r="A138" s="161" t="s">
        <v>556</v>
      </c>
      <c r="B138" s="161" t="s">
        <v>161</v>
      </c>
      <c r="C138" s="161" t="s">
        <v>162</v>
      </c>
      <c r="D138" s="161" t="s">
        <v>553</v>
      </c>
      <c r="E138" s="162">
        <v>9234500</v>
      </c>
      <c r="F138" s="162">
        <v>9838500</v>
      </c>
      <c r="G138" s="162">
        <v>9838500</v>
      </c>
      <c r="H138" s="162">
        <v>0</v>
      </c>
      <c r="I138" s="162">
        <v>1305640</v>
      </c>
      <c r="J138" s="162">
        <v>0</v>
      </c>
      <c r="K138" s="162">
        <v>7731160</v>
      </c>
      <c r="L138" s="162">
        <v>7731160</v>
      </c>
      <c r="M138" s="162">
        <v>801700</v>
      </c>
      <c r="N138" s="162">
        <v>801700</v>
      </c>
    </row>
    <row r="139" spans="1:14" s="161" customFormat="1" x14ac:dyDescent="0.25">
      <c r="A139" s="161" t="s">
        <v>556</v>
      </c>
      <c r="B139" s="161" t="s">
        <v>163</v>
      </c>
      <c r="C139" s="161" t="s">
        <v>164</v>
      </c>
      <c r="D139" s="161" t="s">
        <v>553</v>
      </c>
      <c r="E139" s="162">
        <v>700000</v>
      </c>
      <c r="F139" s="162">
        <v>804000</v>
      </c>
      <c r="G139" s="162">
        <v>804000</v>
      </c>
      <c r="H139" s="162">
        <v>0</v>
      </c>
      <c r="I139" s="162">
        <v>285890</v>
      </c>
      <c r="J139" s="162">
        <v>0</v>
      </c>
      <c r="K139" s="162">
        <v>518110</v>
      </c>
      <c r="L139" s="162">
        <v>518110</v>
      </c>
      <c r="M139" s="162">
        <v>0</v>
      </c>
      <c r="N139" s="162">
        <v>0</v>
      </c>
    </row>
    <row r="140" spans="1:14" s="161" customFormat="1" x14ac:dyDescent="0.25">
      <c r="A140" s="161" t="s">
        <v>556</v>
      </c>
      <c r="B140" s="161" t="s">
        <v>165</v>
      </c>
      <c r="C140" s="161" t="s">
        <v>166</v>
      </c>
      <c r="D140" s="161" t="s">
        <v>553</v>
      </c>
      <c r="E140" s="162">
        <v>8534500</v>
      </c>
      <c r="F140" s="162">
        <v>9034500</v>
      </c>
      <c r="G140" s="162">
        <v>9034500</v>
      </c>
      <c r="H140" s="162">
        <v>0</v>
      </c>
      <c r="I140" s="162">
        <v>1019750</v>
      </c>
      <c r="J140" s="162">
        <v>0</v>
      </c>
      <c r="K140" s="162">
        <v>7213050</v>
      </c>
      <c r="L140" s="162">
        <v>7213050</v>
      </c>
      <c r="M140" s="162">
        <v>801700</v>
      </c>
      <c r="N140" s="162">
        <v>801700</v>
      </c>
    </row>
    <row r="141" spans="1:14" s="161" customFormat="1" x14ac:dyDescent="0.25">
      <c r="A141" s="161" t="s">
        <v>556</v>
      </c>
      <c r="B141" s="161" t="s">
        <v>171</v>
      </c>
      <c r="C141" s="161" t="s">
        <v>172</v>
      </c>
      <c r="D141" s="161" t="s">
        <v>553</v>
      </c>
      <c r="E141" s="162">
        <v>4500000</v>
      </c>
      <c r="F141" s="162">
        <v>4453000</v>
      </c>
      <c r="G141" s="162">
        <v>4453000</v>
      </c>
      <c r="H141" s="162">
        <v>0</v>
      </c>
      <c r="I141" s="162">
        <v>0</v>
      </c>
      <c r="J141" s="162">
        <v>0</v>
      </c>
      <c r="K141" s="162">
        <v>3814274</v>
      </c>
      <c r="L141" s="162">
        <v>3814274</v>
      </c>
      <c r="M141" s="162">
        <v>638726</v>
      </c>
      <c r="N141" s="162">
        <v>638726</v>
      </c>
    </row>
    <row r="142" spans="1:14" s="161" customFormat="1" x14ac:dyDescent="0.25">
      <c r="A142" s="161" t="s">
        <v>556</v>
      </c>
      <c r="B142" s="161" t="s">
        <v>173</v>
      </c>
      <c r="C142" s="161" t="s">
        <v>174</v>
      </c>
      <c r="D142" s="161" t="s">
        <v>553</v>
      </c>
      <c r="E142" s="162">
        <v>4500000</v>
      </c>
      <c r="F142" s="162">
        <v>4453000</v>
      </c>
      <c r="G142" s="162">
        <v>4453000</v>
      </c>
      <c r="H142" s="162">
        <v>0</v>
      </c>
      <c r="I142" s="162">
        <v>0</v>
      </c>
      <c r="J142" s="162">
        <v>0</v>
      </c>
      <c r="K142" s="162">
        <v>3814274</v>
      </c>
      <c r="L142" s="162">
        <v>3814274</v>
      </c>
      <c r="M142" s="162">
        <v>638726</v>
      </c>
      <c r="N142" s="162">
        <v>638726</v>
      </c>
    </row>
    <row r="143" spans="1:14" s="161" customFormat="1" x14ac:dyDescent="0.25">
      <c r="A143" s="161" t="s">
        <v>556</v>
      </c>
      <c r="B143" s="161" t="s">
        <v>175</v>
      </c>
      <c r="C143" s="161" t="s">
        <v>176</v>
      </c>
      <c r="D143" s="161" t="s">
        <v>553</v>
      </c>
      <c r="E143" s="162">
        <v>12506000</v>
      </c>
      <c r="F143" s="162">
        <v>12506000</v>
      </c>
      <c r="G143" s="162">
        <v>12506000</v>
      </c>
      <c r="H143" s="162">
        <v>0</v>
      </c>
      <c r="I143" s="162">
        <v>52162.8</v>
      </c>
      <c r="J143" s="162">
        <v>0</v>
      </c>
      <c r="K143" s="162">
        <v>12451600</v>
      </c>
      <c r="L143" s="162">
        <v>10377900</v>
      </c>
      <c r="M143" s="162">
        <v>2237.1999999999998</v>
      </c>
      <c r="N143" s="162">
        <v>2237.1999999999998</v>
      </c>
    </row>
    <row r="144" spans="1:14" s="161" customFormat="1" x14ac:dyDescent="0.25">
      <c r="A144" s="161" t="s">
        <v>556</v>
      </c>
      <c r="B144" s="161" t="s">
        <v>316</v>
      </c>
      <c r="C144" s="161" t="s">
        <v>317</v>
      </c>
      <c r="D144" s="161" t="s">
        <v>553</v>
      </c>
      <c r="E144" s="162">
        <v>12506000</v>
      </c>
      <c r="F144" s="162">
        <v>12506000</v>
      </c>
      <c r="G144" s="162">
        <v>12506000</v>
      </c>
      <c r="H144" s="162">
        <v>0</v>
      </c>
      <c r="I144" s="162">
        <v>52162.8</v>
      </c>
      <c r="J144" s="162">
        <v>0</v>
      </c>
      <c r="K144" s="162">
        <v>12451600</v>
      </c>
      <c r="L144" s="162">
        <v>10377900</v>
      </c>
      <c r="M144" s="162">
        <v>2237.1999999999998</v>
      </c>
      <c r="N144" s="162">
        <v>2237.1999999999998</v>
      </c>
    </row>
    <row r="145" spans="1:14" s="161" customFormat="1" x14ac:dyDescent="0.25">
      <c r="A145" s="161" t="s">
        <v>556</v>
      </c>
      <c r="B145" s="161" t="s">
        <v>181</v>
      </c>
      <c r="C145" s="161" t="s">
        <v>182</v>
      </c>
      <c r="D145" s="161" t="s">
        <v>553</v>
      </c>
      <c r="E145" s="162">
        <v>4600000</v>
      </c>
      <c r="F145" s="162">
        <v>3600000</v>
      </c>
      <c r="G145" s="162">
        <v>3600000</v>
      </c>
      <c r="H145" s="162">
        <v>0</v>
      </c>
      <c r="I145" s="162">
        <v>0</v>
      </c>
      <c r="J145" s="162">
        <v>0</v>
      </c>
      <c r="K145" s="162">
        <v>1982648.78</v>
      </c>
      <c r="L145" s="162">
        <v>1482693.78</v>
      </c>
      <c r="M145" s="162">
        <v>1617351.22</v>
      </c>
      <c r="N145" s="162">
        <v>1617351.22</v>
      </c>
    </row>
    <row r="146" spans="1:14" s="161" customFormat="1" x14ac:dyDescent="0.25">
      <c r="A146" s="161" t="s">
        <v>556</v>
      </c>
      <c r="B146" s="161" t="s">
        <v>185</v>
      </c>
      <c r="C146" s="161" t="s">
        <v>186</v>
      </c>
      <c r="D146" s="161" t="s">
        <v>553</v>
      </c>
      <c r="E146" s="162">
        <v>600000</v>
      </c>
      <c r="F146" s="162">
        <v>600000</v>
      </c>
      <c r="G146" s="162">
        <v>600000</v>
      </c>
      <c r="H146" s="162">
        <v>0</v>
      </c>
      <c r="I146" s="162">
        <v>0</v>
      </c>
      <c r="J146" s="162">
        <v>0</v>
      </c>
      <c r="K146" s="162">
        <v>502455</v>
      </c>
      <c r="L146" s="162">
        <v>2500</v>
      </c>
      <c r="M146" s="162">
        <v>97545</v>
      </c>
      <c r="N146" s="162">
        <v>97545</v>
      </c>
    </row>
    <row r="147" spans="1:14" s="161" customFormat="1" x14ac:dyDescent="0.25">
      <c r="A147" s="161" t="s">
        <v>556</v>
      </c>
      <c r="B147" s="161" t="s">
        <v>189</v>
      </c>
      <c r="C147" s="161" t="s">
        <v>190</v>
      </c>
      <c r="D147" s="161" t="s">
        <v>553</v>
      </c>
      <c r="E147" s="162">
        <v>1500000</v>
      </c>
      <c r="F147" s="162">
        <v>1000000</v>
      </c>
      <c r="G147" s="162">
        <v>1000000</v>
      </c>
      <c r="H147" s="162">
        <v>0</v>
      </c>
      <c r="I147" s="162">
        <v>0</v>
      </c>
      <c r="J147" s="162">
        <v>0</v>
      </c>
      <c r="K147" s="162">
        <v>0</v>
      </c>
      <c r="L147" s="162">
        <v>0</v>
      </c>
      <c r="M147" s="162">
        <v>1000000</v>
      </c>
      <c r="N147" s="162">
        <v>1000000</v>
      </c>
    </row>
    <row r="148" spans="1:14" s="161" customFormat="1" x14ac:dyDescent="0.25">
      <c r="A148" s="161" t="s">
        <v>556</v>
      </c>
      <c r="B148" s="161" t="s">
        <v>191</v>
      </c>
      <c r="C148" s="161" t="s">
        <v>192</v>
      </c>
      <c r="D148" s="161" t="s">
        <v>553</v>
      </c>
      <c r="E148" s="162">
        <v>1500000</v>
      </c>
      <c r="F148" s="162">
        <v>1500000</v>
      </c>
      <c r="G148" s="162">
        <v>1500000</v>
      </c>
      <c r="H148" s="162">
        <v>0</v>
      </c>
      <c r="I148" s="162">
        <v>0</v>
      </c>
      <c r="J148" s="162">
        <v>0</v>
      </c>
      <c r="K148" s="162">
        <v>1480193.78</v>
      </c>
      <c r="L148" s="162">
        <v>1480193.78</v>
      </c>
      <c r="M148" s="162">
        <v>19806.22</v>
      </c>
      <c r="N148" s="162">
        <v>19806.22</v>
      </c>
    </row>
    <row r="149" spans="1:14" s="161" customFormat="1" x14ac:dyDescent="0.25">
      <c r="A149" s="161" t="s">
        <v>556</v>
      </c>
      <c r="B149" s="161" t="s">
        <v>193</v>
      </c>
      <c r="C149" s="161" t="s">
        <v>194</v>
      </c>
      <c r="D149" s="161" t="s">
        <v>553</v>
      </c>
      <c r="E149" s="162">
        <v>1000000</v>
      </c>
      <c r="F149" s="162">
        <v>500000</v>
      </c>
      <c r="G149" s="162">
        <v>500000</v>
      </c>
      <c r="H149" s="162">
        <v>0</v>
      </c>
      <c r="I149" s="162">
        <v>0</v>
      </c>
      <c r="J149" s="162">
        <v>0</v>
      </c>
      <c r="K149" s="162">
        <v>0</v>
      </c>
      <c r="L149" s="162">
        <v>0</v>
      </c>
      <c r="M149" s="162">
        <v>500000</v>
      </c>
      <c r="N149" s="162">
        <v>500000</v>
      </c>
    </row>
    <row r="150" spans="1:14" s="161" customFormat="1" x14ac:dyDescent="0.25">
      <c r="A150" s="161" t="s">
        <v>556</v>
      </c>
      <c r="B150" s="161" t="s">
        <v>195</v>
      </c>
      <c r="C150" s="161" t="s">
        <v>196</v>
      </c>
      <c r="D150" s="161" t="s">
        <v>553</v>
      </c>
      <c r="E150" s="162">
        <v>200000</v>
      </c>
      <c r="F150" s="162">
        <v>120000</v>
      </c>
      <c r="G150" s="162">
        <v>120000</v>
      </c>
      <c r="H150" s="162">
        <v>0</v>
      </c>
      <c r="I150" s="162">
        <v>36175</v>
      </c>
      <c r="J150" s="162">
        <v>0</v>
      </c>
      <c r="K150" s="162">
        <v>83825</v>
      </c>
      <c r="L150" s="162">
        <v>0</v>
      </c>
      <c r="M150" s="162">
        <v>0</v>
      </c>
      <c r="N150" s="162">
        <v>0</v>
      </c>
    </row>
    <row r="151" spans="1:14" s="161" customFormat="1" x14ac:dyDescent="0.25">
      <c r="A151" s="161" t="s">
        <v>556</v>
      </c>
      <c r="B151" s="161" t="s">
        <v>197</v>
      </c>
      <c r="C151" s="161" t="s">
        <v>198</v>
      </c>
      <c r="D151" s="161" t="s">
        <v>553</v>
      </c>
      <c r="E151" s="162">
        <v>200000</v>
      </c>
      <c r="F151" s="162">
        <v>120000</v>
      </c>
      <c r="G151" s="162">
        <v>120000</v>
      </c>
      <c r="H151" s="162">
        <v>0</v>
      </c>
      <c r="I151" s="162">
        <v>36175</v>
      </c>
      <c r="J151" s="162">
        <v>0</v>
      </c>
      <c r="K151" s="162">
        <v>83825</v>
      </c>
      <c r="L151" s="162">
        <v>0</v>
      </c>
      <c r="M151" s="162">
        <v>0</v>
      </c>
      <c r="N151" s="162">
        <v>0</v>
      </c>
    </row>
    <row r="152" spans="1:14" s="161" customFormat="1" x14ac:dyDescent="0.25">
      <c r="A152" s="161" t="s">
        <v>556</v>
      </c>
      <c r="B152" s="161" t="s">
        <v>199</v>
      </c>
      <c r="C152" s="161" t="s">
        <v>200</v>
      </c>
      <c r="D152" s="161" t="s">
        <v>553</v>
      </c>
      <c r="E152" s="162">
        <v>500000</v>
      </c>
      <c r="F152" s="162">
        <v>225000</v>
      </c>
      <c r="G152" s="162">
        <v>225000</v>
      </c>
      <c r="H152" s="162">
        <v>0</v>
      </c>
      <c r="I152" s="162">
        <v>0</v>
      </c>
      <c r="J152" s="162">
        <v>0</v>
      </c>
      <c r="K152" s="162">
        <v>0</v>
      </c>
      <c r="L152" s="162">
        <v>0</v>
      </c>
      <c r="M152" s="162">
        <v>225000</v>
      </c>
      <c r="N152" s="162">
        <v>225000</v>
      </c>
    </row>
    <row r="153" spans="1:14" s="161" customFormat="1" x14ac:dyDescent="0.25">
      <c r="A153" s="161" t="s">
        <v>556</v>
      </c>
      <c r="B153" s="161" t="s">
        <v>201</v>
      </c>
      <c r="C153" s="161" t="s">
        <v>202</v>
      </c>
      <c r="D153" s="161" t="s">
        <v>553</v>
      </c>
      <c r="E153" s="162">
        <v>500000</v>
      </c>
      <c r="F153" s="162">
        <v>225000</v>
      </c>
      <c r="G153" s="162">
        <v>225000</v>
      </c>
      <c r="H153" s="162">
        <v>0</v>
      </c>
      <c r="I153" s="162">
        <v>0</v>
      </c>
      <c r="J153" s="162">
        <v>0</v>
      </c>
      <c r="K153" s="162">
        <v>0</v>
      </c>
      <c r="L153" s="162">
        <v>0</v>
      </c>
      <c r="M153" s="162">
        <v>225000</v>
      </c>
      <c r="N153" s="162">
        <v>225000</v>
      </c>
    </row>
    <row r="154" spans="1:14" s="161" customFormat="1" x14ac:dyDescent="0.25">
      <c r="A154" s="161" t="s">
        <v>556</v>
      </c>
      <c r="B154" s="161" t="s">
        <v>203</v>
      </c>
      <c r="C154" s="161" t="s">
        <v>204</v>
      </c>
      <c r="D154" s="161" t="s">
        <v>553</v>
      </c>
      <c r="E154" s="162">
        <v>26927000</v>
      </c>
      <c r="F154" s="162">
        <v>26981000</v>
      </c>
      <c r="G154" s="162">
        <v>26981000</v>
      </c>
      <c r="H154" s="162">
        <v>0</v>
      </c>
      <c r="I154" s="162">
        <v>1550202</v>
      </c>
      <c r="J154" s="162">
        <v>0</v>
      </c>
      <c r="K154" s="162">
        <v>22840295.760000002</v>
      </c>
      <c r="L154" s="162">
        <v>20098390.760000002</v>
      </c>
      <c r="M154" s="162">
        <v>2590502.2400000002</v>
      </c>
      <c r="N154" s="162">
        <v>2590502.2400000002</v>
      </c>
    </row>
    <row r="155" spans="1:14" s="161" customFormat="1" x14ac:dyDescent="0.25">
      <c r="A155" s="161" t="s">
        <v>556</v>
      </c>
      <c r="B155" s="161" t="s">
        <v>205</v>
      </c>
      <c r="C155" s="161" t="s">
        <v>206</v>
      </c>
      <c r="D155" s="161" t="s">
        <v>553</v>
      </c>
      <c r="E155" s="162">
        <v>15000000</v>
      </c>
      <c r="F155" s="162">
        <v>14483000</v>
      </c>
      <c r="G155" s="162">
        <v>14483000</v>
      </c>
      <c r="H155" s="162">
        <v>0</v>
      </c>
      <c r="I155" s="162">
        <v>978430</v>
      </c>
      <c r="J155" s="162">
        <v>0</v>
      </c>
      <c r="K155" s="162">
        <v>12004509.5</v>
      </c>
      <c r="L155" s="162">
        <v>10828049.5</v>
      </c>
      <c r="M155" s="162">
        <v>1500060.5</v>
      </c>
      <c r="N155" s="162">
        <v>1500060.5</v>
      </c>
    </row>
    <row r="156" spans="1:14" s="161" customFormat="1" x14ac:dyDescent="0.25">
      <c r="A156" s="161" t="s">
        <v>556</v>
      </c>
      <c r="B156" s="161" t="s">
        <v>207</v>
      </c>
      <c r="C156" s="161" t="s">
        <v>208</v>
      </c>
      <c r="D156" s="161" t="s">
        <v>553</v>
      </c>
      <c r="E156" s="162">
        <v>5000000</v>
      </c>
      <c r="F156" s="162">
        <v>4492000</v>
      </c>
      <c r="G156" s="162">
        <v>4492000</v>
      </c>
      <c r="H156" s="162">
        <v>0</v>
      </c>
      <c r="I156" s="162">
        <v>357700</v>
      </c>
      <c r="J156" s="162">
        <v>0</v>
      </c>
      <c r="K156" s="162">
        <v>2959079</v>
      </c>
      <c r="L156" s="162">
        <v>2866779</v>
      </c>
      <c r="M156" s="162">
        <v>1175221</v>
      </c>
      <c r="N156" s="162">
        <v>1175221</v>
      </c>
    </row>
    <row r="157" spans="1:14" s="161" customFormat="1" x14ac:dyDescent="0.25">
      <c r="A157" s="161" t="s">
        <v>556</v>
      </c>
      <c r="B157" s="161" t="s">
        <v>211</v>
      </c>
      <c r="C157" s="161" t="s">
        <v>212</v>
      </c>
      <c r="D157" s="161" t="s">
        <v>553</v>
      </c>
      <c r="E157" s="162">
        <v>10000000</v>
      </c>
      <c r="F157" s="162">
        <v>9991000</v>
      </c>
      <c r="G157" s="162">
        <v>9991000</v>
      </c>
      <c r="H157" s="162">
        <v>0</v>
      </c>
      <c r="I157" s="162">
        <v>620730</v>
      </c>
      <c r="J157" s="162">
        <v>0</v>
      </c>
      <c r="K157" s="162">
        <v>9045430.5</v>
      </c>
      <c r="L157" s="162">
        <v>7961270.5</v>
      </c>
      <c r="M157" s="162">
        <v>324839.5</v>
      </c>
      <c r="N157" s="162">
        <v>324839.5</v>
      </c>
    </row>
    <row r="158" spans="1:14" s="161" customFormat="1" x14ac:dyDescent="0.25">
      <c r="A158" s="161" t="s">
        <v>556</v>
      </c>
      <c r="B158" s="161" t="s">
        <v>215</v>
      </c>
      <c r="C158" s="161" t="s">
        <v>216</v>
      </c>
      <c r="D158" s="161" t="s">
        <v>553</v>
      </c>
      <c r="E158" s="162">
        <v>3000000</v>
      </c>
      <c r="F158" s="162">
        <v>3600000</v>
      </c>
      <c r="G158" s="162">
        <v>3600000</v>
      </c>
      <c r="H158" s="162">
        <v>0</v>
      </c>
      <c r="I158" s="162">
        <v>96000</v>
      </c>
      <c r="J158" s="162">
        <v>0</v>
      </c>
      <c r="K158" s="162">
        <v>3413165</v>
      </c>
      <c r="L158" s="162">
        <v>2913485</v>
      </c>
      <c r="M158" s="162">
        <v>90835</v>
      </c>
      <c r="N158" s="162">
        <v>90835</v>
      </c>
    </row>
    <row r="159" spans="1:14" s="161" customFormat="1" x14ac:dyDescent="0.25">
      <c r="A159" s="161" t="s">
        <v>556</v>
      </c>
      <c r="B159" s="161" t="s">
        <v>217</v>
      </c>
      <c r="C159" s="161" t="s">
        <v>218</v>
      </c>
      <c r="D159" s="161" t="s">
        <v>553</v>
      </c>
      <c r="E159" s="162">
        <v>3000000</v>
      </c>
      <c r="F159" s="162">
        <v>3600000</v>
      </c>
      <c r="G159" s="162">
        <v>3600000</v>
      </c>
      <c r="H159" s="162">
        <v>0</v>
      </c>
      <c r="I159" s="162">
        <v>96000</v>
      </c>
      <c r="J159" s="162">
        <v>0</v>
      </c>
      <c r="K159" s="162">
        <v>3413165</v>
      </c>
      <c r="L159" s="162">
        <v>2913485</v>
      </c>
      <c r="M159" s="162">
        <v>90835</v>
      </c>
      <c r="N159" s="162">
        <v>90835</v>
      </c>
    </row>
    <row r="160" spans="1:14" s="161" customFormat="1" x14ac:dyDescent="0.25">
      <c r="A160" s="161" t="s">
        <v>556</v>
      </c>
      <c r="B160" s="161" t="s">
        <v>219</v>
      </c>
      <c r="C160" s="161" t="s">
        <v>220</v>
      </c>
      <c r="D160" s="161" t="s">
        <v>553</v>
      </c>
      <c r="E160" s="162">
        <v>827000</v>
      </c>
      <c r="F160" s="162">
        <v>811000</v>
      </c>
      <c r="G160" s="162">
        <v>811000</v>
      </c>
      <c r="H160" s="162">
        <v>0</v>
      </c>
      <c r="I160" s="162">
        <v>105430</v>
      </c>
      <c r="J160" s="162">
        <v>0</v>
      </c>
      <c r="K160" s="162">
        <v>662490.84</v>
      </c>
      <c r="L160" s="162">
        <v>662490.84</v>
      </c>
      <c r="M160" s="162">
        <v>43079.16</v>
      </c>
      <c r="N160" s="162">
        <v>43079.16</v>
      </c>
    </row>
    <row r="161" spans="1:14" s="161" customFormat="1" x14ac:dyDescent="0.25">
      <c r="A161" s="161" t="s">
        <v>556</v>
      </c>
      <c r="B161" s="161" t="s">
        <v>223</v>
      </c>
      <c r="C161" s="161" t="s">
        <v>224</v>
      </c>
      <c r="D161" s="161" t="s">
        <v>553</v>
      </c>
      <c r="E161" s="162">
        <v>811000</v>
      </c>
      <c r="F161" s="162">
        <v>811000</v>
      </c>
      <c r="G161" s="162">
        <v>811000</v>
      </c>
      <c r="H161" s="162">
        <v>0</v>
      </c>
      <c r="I161" s="162">
        <v>105430</v>
      </c>
      <c r="J161" s="162">
        <v>0</v>
      </c>
      <c r="K161" s="162">
        <v>662490.84</v>
      </c>
      <c r="L161" s="162">
        <v>662490.84</v>
      </c>
      <c r="M161" s="162">
        <v>43079.16</v>
      </c>
      <c r="N161" s="162">
        <v>43079.16</v>
      </c>
    </row>
    <row r="162" spans="1:14" s="161" customFormat="1" x14ac:dyDescent="0.25">
      <c r="A162" s="161" t="s">
        <v>556</v>
      </c>
      <c r="B162" s="161" t="s">
        <v>227</v>
      </c>
      <c r="C162" s="161" t="s">
        <v>228</v>
      </c>
      <c r="D162" s="161" t="s">
        <v>553</v>
      </c>
      <c r="E162" s="162">
        <v>16000</v>
      </c>
      <c r="F162" s="162">
        <v>0</v>
      </c>
      <c r="G162" s="162">
        <v>0</v>
      </c>
      <c r="H162" s="162">
        <v>0</v>
      </c>
      <c r="I162" s="162">
        <v>0</v>
      </c>
      <c r="J162" s="162">
        <v>0</v>
      </c>
      <c r="K162" s="162">
        <v>0</v>
      </c>
      <c r="L162" s="162">
        <v>0</v>
      </c>
      <c r="M162" s="162">
        <v>0</v>
      </c>
      <c r="N162" s="162">
        <v>0</v>
      </c>
    </row>
    <row r="163" spans="1:14" s="161" customFormat="1" x14ac:dyDescent="0.25">
      <c r="A163" s="161" t="s">
        <v>556</v>
      </c>
      <c r="B163" s="161" t="s">
        <v>231</v>
      </c>
      <c r="C163" s="161" t="s">
        <v>232</v>
      </c>
      <c r="D163" s="161" t="s">
        <v>553</v>
      </c>
      <c r="E163" s="162">
        <v>3000000</v>
      </c>
      <c r="F163" s="162">
        <v>2987000</v>
      </c>
      <c r="G163" s="162">
        <v>2987000</v>
      </c>
      <c r="H163" s="162">
        <v>0</v>
      </c>
      <c r="I163" s="162">
        <v>0</v>
      </c>
      <c r="J163" s="162">
        <v>0</v>
      </c>
      <c r="K163" s="162">
        <v>2600665.38</v>
      </c>
      <c r="L163" s="162">
        <v>1606540.38</v>
      </c>
      <c r="M163" s="162">
        <v>386334.62</v>
      </c>
      <c r="N163" s="162">
        <v>386334.62</v>
      </c>
    </row>
    <row r="164" spans="1:14" s="161" customFormat="1" x14ac:dyDescent="0.25">
      <c r="A164" s="161" t="s">
        <v>556</v>
      </c>
      <c r="B164" s="161" t="s">
        <v>233</v>
      </c>
      <c r="C164" s="161" t="s">
        <v>234</v>
      </c>
      <c r="D164" s="161" t="s">
        <v>553</v>
      </c>
      <c r="E164" s="162">
        <v>2000000</v>
      </c>
      <c r="F164" s="162">
        <v>1987000</v>
      </c>
      <c r="G164" s="162">
        <v>1987000</v>
      </c>
      <c r="H164" s="162">
        <v>0</v>
      </c>
      <c r="I164" s="162">
        <v>0</v>
      </c>
      <c r="J164" s="162">
        <v>0</v>
      </c>
      <c r="K164" s="162">
        <v>1606540.38</v>
      </c>
      <c r="L164" s="162">
        <v>1606540.38</v>
      </c>
      <c r="M164" s="162">
        <v>380459.62</v>
      </c>
      <c r="N164" s="162">
        <v>380459.62</v>
      </c>
    </row>
    <row r="165" spans="1:14" s="161" customFormat="1" x14ac:dyDescent="0.25">
      <c r="A165" s="161" t="s">
        <v>556</v>
      </c>
      <c r="B165" s="161" t="s">
        <v>235</v>
      </c>
      <c r="C165" s="161" t="s">
        <v>236</v>
      </c>
      <c r="D165" s="161" t="s">
        <v>553</v>
      </c>
      <c r="E165" s="162">
        <v>1000000</v>
      </c>
      <c r="F165" s="162">
        <v>1000000</v>
      </c>
      <c r="G165" s="162">
        <v>1000000</v>
      </c>
      <c r="H165" s="162">
        <v>0</v>
      </c>
      <c r="I165" s="162">
        <v>0</v>
      </c>
      <c r="J165" s="162">
        <v>0</v>
      </c>
      <c r="K165" s="162">
        <v>994125</v>
      </c>
      <c r="L165" s="162">
        <v>0</v>
      </c>
      <c r="M165" s="162">
        <v>5875</v>
      </c>
      <c r="N165" s="162">
        <v>5875</v>
      </c>
    </row>
    <row r="166" spans="1:14" s="161" customFormat="1" x14ac:dyDescent="0.25">
      <c r="A166" s="161" t="s">
        <v>556</v>
      </c>
      <c r="B166" s="161" t="s">
        <v>237</v>
      </c>
      <c r="C166" s="161" t="s">
        <v>238</v>
      </c>
      <c r="D166" s="161" t="s">
        <v>553</v>
      </c>
      <c r="E166" s="162">
        <v>5100000</v>
      </c>
      <c r="F166" s="162">
        <v>5100000</v>
      </c>
      <c r="G166" s="162">
        <v>5100000</v>
      </c>
      <c r="H166" s="162">
        <v>0</v>
      </c>
      <c r="I166" s="162">
        <v>370342</v>
      </c>
      <c r="J166" s="162">
        <v>0</v>
      </c>
      <c r="K166" s="162">
        <v>4159465.04</v>
      </c>
      <c r="L166" s="162">
        <v>4087825.04</v>
      </c>
      <c r="M166" s="162">
        <v>570192.96</v>
      </c>
      <c r="N166" s="162">
        <v>570192.96</v>
      </c>
    </row>
    <row r="167" spans="1:14" s="161" customFormat="1" x14ac:dyDescent="0.25">
      <c r="A167" s="161" t="s">
        <v>556</v>
      </c>
      <c r="B167" s="161" t="s">
        <v>239</v>
      </c>
      <c r="C167" s="161" t="s">
        <v>240</v>
      </c>
      <c r="D167" s="161" t="s">
        <v>553</v>
      </c>
      <c r="E167" s="162">
        <v>2000000</v>
      </c>
      <c r="F167" s="162">
        <v>2000000</v>
      </c>
      <c r="G167" s="162">
        <v>2000000</v>
      </c>
      <c r="H167" s="162">
        <v>0</v>
      </c>
      <c r="I167" s="162">
        <v>0</v>
      </c>
      <c r="J167" s="162">
        <v>0</v>
      </c>
      <c r="K167" s="162">
        <v>1853270.45</v>
      </c>
      <c r="L167" s="162">
        <v>1853270.45</v>
      </c>
      <c r="M167" s="162">
        <v>146729.54999999999</v>
      </c>
      <c r="N167" s="162">
        <v>146729.54999999999</v>
      </c>
    </row>
    <row r="168" spans="1:14" s="161" customFormat="1" x14ac:dyDescent="0.25">
      <c r="A168" s="161" t="s">
        <v>556</v>
      </c>
      <c r="B168" s="161" t="s">
        <v>243</v>
      </c>
      <c r="C168" s="161" t="s">
        <v>244</v>
      </c>
      <c r="D168" s="161" t="s">
        <v>553</v>
      </c>
      <c r="E168" s="162">
        <v>2300000</v>
      </c>
      <c r="F168" s="162">
        <v>2300000</v>
      </c>
      <c r="G168" s="162">
        <v>2300000</v>
      </c>
      <c r="H168" s="162">
        <v>0</v>
      </c>
      <c r="I168" s="162">
        <v>125100</v>
      </c>
      <c r="J168" s="162">
        <v>0</v>
      </c>
      <c r="K168" s="162">
        <v>2162754.59</v>
      </c>
      <c r="L168" s="162">
        <v>2162754.59</v>
      </c>
      <c r="M168" s="162">
        <v>12145.41</v>
      </c>
      <c r="N168" s="162">
        <v>12145.41</v>
      </c>
    </row>
    <row r="169" spans="1:14" s="161" customFormat="1" x14ac:dyDescent="0.25">
      <c r="A169" s="161" t="s">
        <v>556</v>
      </c>
      <c r="B169" s="161" t="s">
        <v>247</v>
      </c>
      <c r="C169" s="161" t="s">
        <v>248</v>
      </c>
      <c r="D169" s="161" t="s">
        <v>553</v>
      </c>
      <c r="E169" s="162">
        <v>700000</v>
      </c>
      <c r="F169" s="162">
        <v>700000</v>
      </c>
      <c r="G169" s="162">
        <v>700000</v>
      </c>
      <c r="H169" s="162">
        <v>0</v>
      </c>
      <c r="I169" s="162">
        <v>245242</v>
      </c>
      <c r="J169" s="162">
        <v>0</v>
      </c>
      <c r="K169" s="162">
        <v>143440</v>
      </c>
      <c r="L169" s="162">
        <v>71800</v>
      </c>
      <c r="M169" s="162">
        <v>311318</v>
      </c>
      <c r="N169" s="162">
        <v>311318</v>
      </c>
    </row>
    <row r="170" spans="1:14" s="161" customFormat="1" x14ac:dyDescent="0.25">
      <c r="A170" s="161" t="s">
        <v>556</v>
      </c>
      <c r="B170" s="161" t="s">
        <v>253</v>
      </c>
      <c r="C170" s="161" t="s">
        <v>254</v>
      </c>
      <c r="D170" s="161" t="s">
        <v>553</v>
      </c>
      <c r="E170" s="162">
        <v>100000</v>
      </c>
      <c r="F170" s="162">
        <v>100000</v>
      </c>
      <c r="G170" s="162">
        <v>100000</v>
      </c>
      <c r="H170" s="162">
        <v>0</v>
      </c>
      <c r="I170" s="162">
        <v>0</v>
      </c>
      <c r="J170" s="162">
        <v>0</v>
      </c>
      <c r="K170" s="162">
        <v>0</v>
      </c>
      <c r="L170" s="162">
        <v>0</v>
      </c>
      <c r="M170" s="162">
        <v>100000</v>
      </c>
      <c r="N170" s="162">
        <v>100000</v>
      </c>
    </row>
    <row r="171" spans="1:14" s="161" customFormat="1" x14ac:dyDescent="0.25">
      <c r="A171" s="161" t="s">
        <v>556</v>
      </c>
      <c r="B171" s="161" t="s">
        <v>255</v>
      </c>
      <c r="C171" s="161" t="s">
        <v>256</v>
      </c>
      <c r="D171" s="161" t="s">
        <v>553</v>
      </c>
      <c r="E171" s="162">
        <v>27808000</v>
      </c>
      <c r="F171" s="162">
        <v>32548000</v>
      </c>
      <c r="G171" s="162">
        <v>32548000</v>
      </c>
      <c r="H171" s="162">
        <v>0</v>
      </c>
      <c r="I171" s="162">
        <v>0</v>
      </c>
      <c r="J171" s="162">
        <v>0</v>
      </c>
      <c r="K171" s="162">
        <v>24840365.010000002</v>
      </c>
      <c r="L171" s="162">
        <v>24840365.010000002</v>
      </c>
      <c r="M171" s="162">
        <v>7707634.9900000002</v>
      </c>
      <c r="N171" s="162">
        <v>7707634.9900000002</v>
      </c>
    </row>
    <row r="172" spans="1:14" s="161" customFormat="1" x14ac:dyDescent="0.25">
      <c r="A172" s="161" t="s">
        <v>556</v>
      </c>
      <c r="B172" s="161" t="s">
        <v>257</v>
      </c>
      <c r="C172" s="161" t="s">
        <v>258</v>
      </c>
      <c r="D172" s="161" t="s">
        <v>553</v>
      </c>
      <c r="E172" s="162">
        <v>6808000</v>
      </c>
      <c r="F172" s="162">
        <v>6808000</v>
      </c>
      <c r="G172" s="162">
        <v>6808000</v>
      </c>
      <c r="H172" s="162">
        <v>0</v>
      </c>
      <c r="I172" s="162">
        <v>0</v>
      </c>
      <c r="J172" s="162">
        <v>0</v>
      </c>
      <c r="K172" s="162">
        <v>6104717</v>
      </c>
      <c r="L172" s="162">
        <v>6104717</v>
      </c>
      <c r="M172" s="162">
        <v>703283</v>
      </c>
      <c r="N172" s="162">
        <v>703283</v>
      </c>
    </row>
    <row r="173" spans="1:14" s="161" customFormat="1" x14ac:dyDescent="0.25">
      <c r="A173" s="161" t="s">
        <v>556</v>
      </c>
      <c r="B173" s="161" t="s">
        <v>318</v>
      </c>
      <c r="C173" s="161" t="s">
        <v>264</v>
      </c>
      <c r="D173" s="161" t="s">
        <v>553</v>
      </c>
      <c r="E173" s="162">
        <v>4757000</v>
      </c>
      <c r="F173" s="162">
        <v>4757000</v>
      </c>
      <c r="G173" s="162">
        <v>4757000</v>
      </c>
      <c r="H173" s="162">
        <v>0</v>
      </c>
      <c r="I173" s="162">
        <v>0</v>
      </c>
      <c r="J173" s="162">
        <v>0</v>
      </c>
      <c r="K173" s="162">
        <v>4498635</v>
      </c>
      <c r="L173" s="162">
        <v>4498635</v>
      </c>
      <c r="M173" s="162">
        <v>258365</v>
      </c>
      <c r="N173" s="162">
        <v>258365</v>
      </c>
    </row>
    <row r="174" spans="1:14" s="161" customFormat="1" x14ac:dyDescent="0.25">
      <c r="A174" s="161" t="s">
        <v>556</v>
      </c>
      <c r="B174" s="161" t="s">
        <v>319</v>
      </c>
      <c r="C174" s="161" t="s">
        <v>266</v>
      </c>
      <c r="D174" s="161" t="s">
        <v>553</v>
      </c>
      <c r="E174" s="162">
        <v>2051000</v>
      </c>
      <c r="F174" s="162">
        <v>2051000</v>
      </c>
      <c r="G174" s="162">
        <v>2051000</v>
      </c>
      <c r="H174" s="162">
        <v>0</v>
      </c>
      <c r="I174" s="162">
        <v>0</v>
      </c>
      <c r="J174" s="162">
        <v>0</v>
      </c>
      <c r="K174" s="162">
        <v>1606082</v>
      </c>
      <c r="L174" s="162">
        <v>1606082</v>
      </c>
      <c r="M174" s="162">
        <v>444918</v>
      </c>
      <c r="N174" s="162">
        <v>444918</v>
      </c>
    </row>
    <row r="175" spans="1:14" s="161" customFormat="1" x14ac:dyDescent="0.25">
      <c r="A175" s="161" t="s">
        <v>556</v>
      </c>
      <c r="B175" s="161" t="s">
        <v>267</v>
      </c>
      <c r="C175" s="161" t="s">
        <v>268</v>
      </c>
      <c r="D175" s="161" t="s">
        <v>553</v>
      </c>
      <c r="E175" s="162">
        <v>18000000</v>
      </c>
      <c r="F175" s="162">
        <v>22740000</v>
      </c>
      <c r="G175" s="162">
        <v>22740000</v>
      </c>
      <c r="H175" s="162">
        <v>0</v>
      </c>
      <c r="I175" s="162">
        <v>0</v>
      </c>
      <c r="J175" s="162">
        <v>0</v>
      </c>
      <c r="K175" s="162">
        <v>16760108.890000001</v>
      </c>
      <c r="L175" s="162">
        <v>16760108.890000001</v>
      </c>
      <c r="M175" s="162">
        <v>5979891.1100000003</v>
      </c>
      <c r="N175" s="162">
        <v>5979891.1100000003</v>
      </c>
    </row>
    <row r="176" spans="1:14" s="161" customFormat="1" x14ac:dyDescent="0.25">
      <c r="A176" s="161" t="s">
        <v>556</v>
      </c>
      <c r="B176" s="161" t="s">
        <v>269</v>
      </c>
      <c r="C176" s="161" t="s">
        <v>270</v>
      </c>
      <c r="D176" s="161" t="s">
        <v>553</v>
      </c>
      <c r="E176" s="162">
        <v>11000000</v>
      </c>
      <c r="F176" s="162">
        <v>15740000</v>
      </c>
      <c r="G176" s="162">
        <v>15740000</v>
      </c>
      <c r="H176" s="162">
        <v>0</v>
      </c>
      <c r="I176" s="162">
        <v>0</v>
      </c>
      <c r="J176" s="162">
        <v>0</v>
      </c>
      <c r="K176" s="162">
        <v>15738128.390000001</v>
      </c>
      <c r="L176" s="162">
        <v>15738128.390000001</v>
      </c>
      <c r="M176" s="162">
        <v>1871.61</v>
      </c>
      <c r="N176" s="162">
        <v>1871.61</v>
      </c>
    </row>
    <row r="177" spans="1:14" s="161" customFormat="1" x14ac:dyDescent="0.25">
      <c r="A177" s="161" t="s">
        <v>556</v>
      </c>
      <c r="B177" s="161" t="s">
        <v>271</v>
      </c>
      <c r="C177" s="161" t="s">
        <v>272</v>
      </c>
      <c r="D177" s="161" t="s">
        <v>553</v>
      </c>
      <c r="E177" s="162">
        <v>7000000</v>
      </c>
      <c r="F177" s="162">
        <v>7000000</v>
      </c>
      <c r="G177" s="162">
        <v>7000000</v>
      </c>
      <c r="H177" s="162">
        <v>0</v>
      </c>
      <c r="I177" s="162">
        <v>0</v>
      </c>
      <c r="J177" s="162">
        <v>0</v>
      </c>
      <c r="K177" s="162">
        <v>1021980.5</v>
      </c>
      <c r="L177" s="162">
        <v>1021980.5</v>
      </c>
      <c r="M177" s="162">
        <v>5978019.5</v>
      </c>
      <c r="N177" s="162">
        <v>5978019.5</v>
      </c>
    </row>
    <row r="178" spans="1:14" s="161" customFormat="1" x14ac:dyDescent="0.25">
      <c r="A178" s="161" t="s">
        <v>556</v>
      </c>
      <c r="B178" s="161" t="s">
        <v>273</v>
      </c>
      <c r="C178" s="161" t="s">
        <v>274</v>
      </c>
      <c r="D178" s="161" t="s">
        <v>553</v>
      </c>
      <c r="E178" s="162">
        <v>3000000</v>
      </c>
      <c r="F178" s="162">
        <v>3000000</v>
      </c>
      <c r="G178" s="162">
        <v>3000000</v>
      </c>
      <c r="H178" s="162">
        <v>0</v>
      </c>
      <c r="I178" s="162">
        <v>0</v>
      </c>
      <c r="J178" s="162">
        <v>0</v>
      </c>
      <c r="K178" s="162">
        <v>1975539.12</v>
      </c>
      <c r="L178" s="162">
        <v>1975539.12</v>
      </c>
      <c r="M178" s="162">
        <v>1024460.88</v>
      </c>
      <c r="N178" s="162">
        <v>1024460.88</v>
      </c>
    </row>
    <row r="179" spans="1:14" s="161" customFormat="1" x14ac:dyDescent="0.25">
      <c r="A179" s="161" t="s">
        <v>556</v>
      </c>
      <c r="B179" s="161" t="s">
        <v>275</v>
      </c>
      <c r="C179" s="161" t="s">
        <v>276</v>
      </c>
      <c r="D179" s="161" t="s">
        <v>553</v>
      </c>
      <c r="E179" s="162">
        <v>3000000</v>
      </c>
      <c r="F179" s="162">
        <v>3000000</v>
      </c>
      <c r="G179" s="162">
        <v>3000000</v>
      </c>
      <c r="H179" s="162">
        <v>0</v>
      </c>
      <c r="I179" s="162">
        <v>0</v>
      </c>
      <c r="J179" s="162">
        <v>0</v>
      </c>
      <c r="K179" s="162">
        <v>1975539.12</v>
      </c>
      <c r="L179" s="162">
        <v>1975539.12</v>
      </c>
      <c r="M179" s="162">
        <v>1024460.88</v>
      </c>
      <c r="N179" s="162">
        <v>1024460.88</v>
      </c>
    </row>
    <row r="180" spans="1:14" s="161" customFormat="1" x14ac:dyDescent="0.25">
      <c r="A180" s="161" t="s">
        <v>556</v>
      </c>
      <c r="B180" s="161" t="s">
        <v>589</v>
      </c>
      <c r="C180" s="161" t="s">
        <v>590</v>
      </c>
      <c r="D180" s="161" t="s">
        <v>553</v>
      </c>
      <c r="E180" s="162">
        <v>0</v>
      </c>
      <c r="F180" s="162">
        <v>5652000</v>
      </c>
      <c r="G180" s="162">
        <v>5652000</v>
      </c>
      <c r="H180" s="162">
        <v>0</v>
      </c>
      <c r="I180" s="162">
        <v>0</v>
      </c>
      <c r="J180" s="162">
        <v>0</v>
      </c>
      <c r="K180" s="162">
        <v>0</v>
      </c>
      <c r="L180" s="162">
        <v>0</v>
      </c>
      <c r="M180" s="162">
        <v>5652000</v>
      </c>
      <c r="N180" s="162">
        <v>5652000</v>
      </c>
    </row>
    <row r="181" spans="1:14" s="161" customFormat="1" x14ac:dyDescent="0.25">
      <c r="A181" s="161" t="s">
        <v>556</v>
      </c>
      <c r="B181" s="161" t="s">
        <v>587</v>
      </c>
      <c r="C181" s="161" t="s">
        <v>588</v>
      </c>
      <c r="D181" s="161" t="s">
        <v>553</v>
      </c>
      <c r="E181" s="162">
        <v>0</v>
      </c>
      <c r="F181" s="162">
        <v>5652000</v>
      </c>
      <c r="G181" s="162">
        <v>5652000</v>
      </c>
      <c r="H181" s="162">
        <v>0</v>
      </c>
      <c r="I181" s="162">
        <v>0</v>
      </c>
      <c r="J181" s="162">
        <v>0</v>
      </c>
      <c r="K181" s="162">
        <v>0</v>
      </c>
      <c r="L181" s="162">
        <v>0</v>
      </c>
      <c r="M181" s="162">
        <v>5652000</v>
      </c>
      <c r="N181" s="162">
        <v>5652000</v>
      </c>
    </row>
    <row r="182" spans="1:14" s="161" customFormat="1" x14ac:dyDescent="0.25">
      <c r="A182" s="161" t="s">
        <v>556</v>
      </c>
      <c r="B182" s="161" t="s">
        <v>585</v>
      </c>
      <c r="C182" s="161" t="s">
        <v>586</v>
      </c>
      <c r="D182" s="161" t="s">
        <v>553</v>
      </c>
      <c r="E182" s="162">
        <v>0</v>
      </c>
      <c r="F182" s="162">
        <v>5652000</v>
      </c>
      <c r="G182" s="162">
        <v>5652000</v>
      </c>
      <c r="H182" s="162">
        <v>0</v>
      </c>
      <c r="I182" s="162">
        <v>0</v>
      </c>
      <c r="J182" s="162">
        <v>0</v>
      </c>
      <c r="K182" s="162">
        <v>0</v>
      </c>
      <c r="L182" s="162">
        <v>0</v>
      </c>
      <c r="M182" s="162">
        <v>5652000</v>
      </c>
      <c r="N182" s="162">
        <v>5652000</v>
      </c>
    </row>
    <row r="183" spans="1:14" s="161" customFormat="1" x14ac:dyDescent="0.25">
      <c r="A183" s="161" t="s">
        <v>556</v>
      </c>
      <c r="B183" s="161" t="s">
        <v>285</v>
      </c>
      <c r="C183" s="161" t="s">
        <v>286</v>
      </c>
      <c r="D183" s="161" t="s">
        <v>555</v>
      </c>
      <c r="E183" s="162">
        <v>3800000</v>
      </c>
      <c r="F183" s="162">
        <v>3792000</v>
      </c>
      <c r="G183" s="162">
        <v>3792000</v>
      </c>
      <c r="H183" s="162">
        <v>0</v>
      </c>
      <c r="I183" s="162">
        <v>0</v>
      </c>
      <c r="J183" s="162">
        <v>0</v>
      </c>
      <c r="K183" s="162">
        <v>3688269.22</v>
      </c>
      <c r="L183" s="162">
        <v>3688269.22</v>
      </c>
      <c r="M183" s="162">
        <v>103730.78</v>
      </c>
      <c r="N183" s="162">
        <v>103730.78</v>
      </c>
    </row>
    <row r="184" spans="1:14" s="161" customFormat="1" x14ac:dyDescent="0.25">
      <c r="A184" s="161" t="s">
        <v>556</v>
      </c>
      <c r="B184" s="161" t="s">
        <v>287</v>
      </c>
      <c r="C184" s="161" t="s">
        <v>288</v>
      </c>
      <c r="D184" s="161" t="s">
        <v>555</v>
      </c>
      <c r="E184" s="162">
        <v>3800000</v>
      </c>
      <c r="F184" s="162">
        <v>3792000</v>
      </c>
      <c r="G184" s="162">
        <v>3792000</v>
      </c>
      <c r="H184" s="162">
        <v>0</v>
      </c>
      <c r="I184" s="162">
        <v>0</v>
      </c>
      <c r="J184" s="162">
        <v>0</v>
      </c>
      <c r="K184" s="162">
        <v>3688269.22</v>
      </c>
      <c r="L184" s="162">
        <v>3688269.22</v>
      </c>
      <c r="M184" s="162">
        <v>103730.78</v>
      </c>
      <c r="N184" s="162">
        <v>103730.78</v>
      </c>
    </row>
    <row r="185" spans="1:14" s="161" customFormat="1" x14ac:dyDescent="0.25">
      <c r="A185" s="161" t="s">
        <v>556</v>
      </c>
      <c r="B185" s="161" t="s">
        <v>291</v>
      </c>
      <c r="C185" s="161" t="s">
        <v>292</v>
      </c>
      <c r="D185" s="161" t="s">
        <v>555</v>
      </c>
      <c r="E185" s="162">
        <v>1000000</v>
      </c>
      <c r="F185" s="162">
        <v>1016000</v>
      </c>
      <c r="G185" s="162">
        <v>1016000</v>
      </c>
      <c r="H185" s="162">
        <v>0</v>
      </c>
      <c r="I185" s="162">
        <v>0</v>
      </c>
      <c r="J185" s="162">
        <v>0</v>
      </c>
      <c r="K185" s="162">
        <v>1015139.92</v>
      </c>
      <c r="L185" s="162">
        <v>1015139.92</v>
      </c>
      <c r="M185" s="162">
        <v>860.08</v>
      </c>
      <c r="N185" s="162">
        <v>860.08</v>
      </c>
    </row>
    <row r="186" spans="1:14" s="161" customFormat="1" x14ac:dyDescent="0.25">
      <c r="A186" s="161" t="s">
        <v>556</v>
      </c>
      <c r="B186" s="161" t="s">
        <v>293</v>
      </c>
      <c r="C186" s="161" t="s">
        <v>294</v>
      </c>
      <c r="D186" s="161" t="s">
        <v>555</v>
      </c>
      <c r="E186" s="162">
        <v>2000000</v>
      </c>
      <c r="F186" s="162">
        <v>1980000</v>
      </c>
      <c r="G186" s="162">
        <v>1980000</v>
      </c>
      <c r="H186" s="162">
        <v>0</v>
      </c>
      <c r="I186" s="162">
        <v>0</v>
      </c>
      <c r="J186" s="162">
        <v>0</v>
      </c>
      <c r="K186" s="162">
        <v>1961465.3</v>
      </c>
      <c r="L186" s="162">
        <v>1961465.3</v>
      </c>
      <c r="M186" s="162">
        <v>18534.7</v>
      </c>
      <c r="N186" s="162">
        <v>18534.7</v>
      </c>
    </row>
    <row r="187" spans="1:14" s="161" customFormat="1" x14ac:dyDescent="0.25">
      <c r="A187" s="161" t="s">
        <v>556</v>
      </c>
      <c r="B187" s="161" t="s">
        <v>299</v>
      </c>
      <c r="C187" s="161" t="s">
        <v>300</v>
      </c>
      <c r="D187" s="161" t="s">
        <v>555</v>
      </c>
      <c r="E187" s="162">
        <v>300000</v>
      </c>
      <c r="F187" s="162">
        <v>296000</v>
      </c>
      <c r="G187" s="162">
        <v>296000</v>
      </c>
      <c r="H187" s="162">
        <v>0</v>
      </c>
      <c r="I187" s="162">
        <v>0</v>
      </c>
      <c r="J187" s="162">
        <v>0</v>
      </c>
      <c r="K187" s="162">
        <v>295119</v>
      </c>
      <c r="L187" s="162">
        <v>295119</v>
      </c>
      <c r="M187" s="162">
        <v>881</v>
      </c>
      <c r="N187" s="162">
        <v>881</v>
      </c>
    </row>
    <row r="188" spans="1:14" s="161" customFormat="1" x14ac:dyDescent="0.25">
      <c r="A188" s="161" t="s">
        <v>556</v>
      </c>
      <c r="B188" s="161" t="s">
        <v>301</v>
      </c>
      <c r="C188" s="161" t="s">
        <v>302</v>
      </c>
      <c r="D188" s="161" t="s">
        <v>555</v>
      </c>
      <c r="E188" s="162">
        <v>500000</v>
      </c>
      <c r="F188" s="162">
        <v>500000</v>
      </c>
      <c r="G188" s="162">
        <v>500000</v>
      </c>
      <c r="H188" s="162">
        <v>0</v>
      </c>
      <c r="I188" s="162">
        <v>0</v>
      </c>
      <c r="J188" s="162">
        <v>0</v>
      </c>
      <c r="K188" s="162">
        <v>416545</v>
      </c>
      <c r="L188" s="162">
        <v>416545</v>
      </c>
      <c r="M188" s="162">
        <v>83455</v>
      </c>
      <c r="N188" s="162">
        <v>83455</v>
      </c>
    </row>
    <row r="189" spans="1:14" s="161" customFormat="1" x14ac:dyDescent="0.25">
      <c r="A189" s="161">
        <v>214781</v>
      </c>
      <c r="B189" s="161" t="s">
        <v>602</v>
      </c>
      <c r="C189" s="161" t="s">
        <v>602</v>
      </c>
      <c r="D189" s="161" t="s">
        <v>553</v>
      </c>
      <c r="E189" s="162">
        <v>11471881000</v>
      </c>
      <c r="F189" s="162">
        <v>10740968852</v>
      </c>
      <c r="G189" s="162">
        <v>10740968852</v>
      </c>
      <c r="H189" s="162">
        <v>0</v>
      </c>
      <c r="I189" s="162">
        <v>92419661.390000001</v>
      </c>
      <c r="J189" s="162">
        <v>0</v>
      </c>
      <c r="K189" s="162">
        <v>9843333943.6599998</v>
      </c>
      <c r="L189" s="162">
        <v>9320170378.5400009</v>
      </c>
      <c r="M189" s="162">
        <v>805215246.95000005</v>
      </c>
      <c r="N189" s="162">
        <v>805215246.95000005</v>
      </c>
    </row>
    <row r="190" spans="1:14" s="161" customFormat="1" x14ac:dyDescent="0.25">
      <c r="A190" s="161" t="s">
        <v>557</v>
      </c>
      <c r="B190" s="161" t="s">
        <v>92</v>
      </c>
      <c r="C190" s="161" t="s">
        <v>93</v>
      </c>
      <c r="D190" s="161" t="s">
        <v>553</v>
      </c>
      <c r="E190" s="162">
        <v>9297872000</v>
      </c>
      <c r="F190" s="162">
        <v>8579375411</v>
      </c>
      <c r="G190" s="162">
        <v>8579375411</v>
      </c>
      <c r="H190" s="162">
        <v>0</v>
      </c>
      <c r="I190" s="162">
        <v>0</v>
      </c>
      <c r="J190" s="162">
        <v>0</v>
      </c>
      <c r="K190" s="162">
        <v>8092653556.1000004</v>
      </c>
      <c r="L190" s="162">
        <v>8092653556.1000004</v>
      </c>
      <c r="M190" s="162">
        <v>486721854.89999998</v>
      </c>
      <c r="N190" s="162">
        <v>486721854.89999998</v>
      </c>
    </row>
    <row r="191" spans="1:14" s="161" customFormat="1" x14ac:dyDescent="0.25">
      <c r="A191" s="161" t="s">
        <v>557</v>
      </c>
      <c r="B191" s="161" t="s">
        <v>94</v>
      </c>
      <c r="C191" s="161" t="s">
        <v>95</v>
      </c>
      <c r="D191" s="161" t="s">
        <v>553</v>
      </c>
      <c r="E191" s="162">
        <v>3269433000</v>
      </c>
      <c r="F191" s="162">
        <v>2952648960</v>
      </c>
      <c r="G191" s="162">
        <v>2952648960</v>
      </c>
      <c r="H191" s="162">
        <v>0</v>
      </c>
      <c r="I191" s="162">
        <v>0</v>
      </c>
      <c r="J191" s="162">
        <v>0</v>
      </c>
      <c r="K191" s="162">
        <v>2798626505.3899999</v>
      </c>
      <c r="L191" s="162">
        <v>2798626505.3899999</v>
      </c>
      <c r="M191" s="162">
        <v>154022454.61000001</v>
      </c>
      <c r="N191" s="162">
        <v>154022454.61000001</v>
      </c>
    </row>
    <row r="192" spans="1:14" s="161" customFormat="1" x14ac:dyDescent="0.25">
      <c r="A192" s="161" t="s">
        <v>557</v>
      </c>
      <c r="B192" s="161" t="s">
        <v>96</v>
      </c>
      <c r="C192" s="161" t="s">
        <v>97</v>
      </c>
      <c r="D192" s="161" t="s">
        <v>553</v>
      </c>
      <c r="E192" s="162">
        <v>3264433000</v>
      </c>
      <c r="F192" s="162">
        <v>2950148960</v>
      </c>
      <c r="G192" s="162">
        <v>2950148960</v>
      </c>
      <c r="H192" s="162">
        <v>0</v>
      </c>
      <c r="I192" s="162">
        <v>0</v>
      </c>
      <c r="J192" s="162">
        <v>0</v>
      </c>
      <c r="K192" s="162">
        <v>2798626505.3899999</v>
      </c>
      <c r="L192" s="162">
        <v>2798626505.3899999</v>
      </c>
      <c r="M192" s="162">
        <v>151522454.61000001</v>
      </c>
      <c r="N192" s="162">
        <v>151522454.61000001</v>
      </c>
    </row>
    <row r="193" spans="1:14" s="161" customFormat="1" x14ac:dyDescent="0.25">
      <c r="A193" s="161" t="s">
        <v>557</v>
      </c>
      <c r="B193" s="161" t="s">
        <v>320</v>
      </c>
      <c r="C193" s="161" t="s">
        <v>321</v>
      </c>
      <c r="D193" s="161" t="s">
        <v>553</v>
      </c>
      <c r="E193" s="162">
        <v>5000000</v>
      </c>
      <c r="F193" s="162">
        <v>2500000</v>
      </c>
      <c r="G193" s="162">
        <v>2500000</v>
      </c>
      <c r="H193" s="162">
        <v>0</v>
      </c>
      <c r="I193" s="162">
        <v>0</v>
      </c>
      <c r="J193" s="162">
        <v>0</v>
      </c>
      <c r="K193" s="162">
        <v>0</v>
      </c>
      <c r="L193" s="162">
        <v>0</v>
      </c>
      <c r="M193" s="162">
        <v>2500000</v>
      </c>
      <c r="N193" s="162">
        <v>2500000</v>
      </c>
    </row>
    <row r="194" spans="1:14" s="161" customFormat="1" x14ac:dyDescent="0.25">
      <c r="A194" s="161" t="s">
        <v>557</v>
      </c>
      <c r="B194" s="161" t="s">
        <v>98</v>
      </c>
      <c r="C194" s="161" t="s">
        <v>99</v>
      </c>
      <c r="D194" s="161" t="s">
        <v>553</v>
      </c>
      <c r="E194" s="162">
        <v>14000000</v>
      </c>
      <c r="F194" s="162">
        <v>11084920</v>
      </c>
      <c r="G194" s="162">
        <v>11084920</v>
      </c>
      <c r="H194" s="162">
        <v>0</v>
      </c>
      <c r="I194" s="162">
        <v>0</v>
      </c>
      <c r="J194" s="162">
        <v>0</v>
      </c>
      <c r="K194" s="162">
        <v>8979369.4000000004</v>
      </c>
      <c r="L194" s="162">
        <v>8979369.4000000004</v>
      </c>
      <c r="M194" s="162">
        <v>2105550.6</v>
      </c>
      <c r="N194" s="162">
        <v>2105550.6</v>
      </c>
    </row>
    <row r="195" spans="1:14" s="161" customFormat="1" x14ac:dyDescent="0.25">
      <c r="A195" s="161" t="s">
        <v>557</v>
      </c>
      <c r="B195" s="161" t="s">
        <v>100</v>
      </c>
      <c r="C195" s="161" t="s">
        <v>101</v>
      </c>
      <c r="D195" s="161" t="s">
        <v>553</v>
      </c>
      <c r="E195" s="162">
        <v>14000000</v>
      </c>
      <c r="F195" s="162">
        <v>11084920</v>
      </c>
      <c r="G195" s="162">
        <v>11084920</v>
      </c>
      <c r="H195" s="162">
        <v>0</v>
      </c>
      <c r="I195" s="162">
        <v>0</v>
      </c>
      <c r="J195" s="162">
        <v>0</v>
      </c>
      <c r="K195" s="162">
        <v>8979369.4000000004</v>
      </c>
      <c r="L195" s="162">
        <v>8979369.4000000004</v>
      </c>
      <c r="M195" s="162">
        <v>2105550.6</v>
      </c>
      <c r="N195" s="162">
        <v>2105550.6</v>
      </c>
    </row>
    <row r="196" spans="1:14" s="161" customFormat="1" x14ac:dyDescent="0.25">
      <c r="A196" s="161" t="s">
        <v>557</v>
      </c>
      <c r="B196" s="161" t="s">
        <v>102</v>
      </c>
      <c r="C196" s="161" t="s">
        <v>103</v>
      </c>
      <c r="D196" s="161" t="s">
        <v>553</v>
      </c>
      <c r="E196" s="162">
        <v>4603320000</v>
      </c>
      <c r="F196" s="162">
        <v>4303943922</v>
      </c>
      <c r="G196" s="162">
        <v>4303943922</v>
      </c>
      <c r="H196" s="162">
        <v>0</v>
      </c>
      <c r="I196" s="162">
        <v>0</v>
      </c>
      <c r="J196" s="162">
        <v>0</v>
      </c>
      <c r="K196" s="162">
        <v>4079579807.3099999</v>
      </c>
      <c r="L196" s="162">
        <v>4079579807.3099999</v>
      </c>
      <c r="M196" s="162">
        <v>224364114.69</v>
      </c>
      <c r="N196" s="162">
        <v>224364114.69</v>
      </c>
    </row>
    <row r="197" spans="1:14" s="161" customFormat="1" x14ac:dyDescent="0.25">
      <c r="A197" s="161" t="s">
        <v>557</v>
      </c>
      <c r="B197" s="161" t="s">
        <v>104</v>
      </c>
      <c r="C197" s="161" t="s">
        <v>105</v>
      </c>
      <c r="D197" s="161" t="s">
        <v>553</v>
      </c>
      <c r="E197" s="162">
        <v>848164000</v>
      </c>
      <c r="F197" s="162">
        <v>793278678</v>
      </c>
      <c r="G197" s="162">
        <v>793278678</v>
      </c>
      <c r="H197" s="162">
        <v>0</v>
      </c>
      <c r="I197" s="162">
        <v>0</v>
      </c>
      <c r="J197" s="162">
        <v>0</v>
      </c>
      <c r="K197" s="162">
        <v>733021615.07000005</v>
      </c>
      <c r="L197" s="162">
        <v>733021615.07000005</v>
      </c>
      <c r="M197" s="162">
        <v>60257062.93</v>
      </c>
      <c r="N197" s="162">
        <v>60257062.93</v>
      </c>
    </row>
    <row r="198" spans="1:14" s="161" customFormat="1" x14ac:dyDescent="0.25">
      <c r="A198" s="161" t="s">
        <v>557</v>
      </c>
      <c r="B198" s="161" t="s">
        <v>106</v>
      </c>
      <c r="C198" s="161" t="s">
        <v>107</v>
      </c>
      <c r="D198" s="161" t="s">
        <v>553</v>
      </c>
      <c r="E198" s="162">
        <v>2130281000</v>
      </c>
      <c r="F198" s="162">
        <v>1961959267</v>
      </c>
      <c r="G198" s="162">
        <v>1961959267</v>
      </c>
      <c r="H198" s="162">
        <v>0</v>
      </c>
      <c r="I198" s="162">
        <v>0</v>
      </c>
      <c r="J198" s="162">
        <v>0</v>
      </c>
      <c r="K198" s="162">
        <v>1840569063.1099999</v>
      </c>
      <c r="L198" s="162">
        <v>1840569063.1099999</v>
      </c>
      <c r="M198" s="162">
        <v>121390203.89</v>
      </c>
      <c r="N198" s="162">
        <v>121390203.89</v>
      </c>
    </row>
    <row r="199" spans="1:14" s="161" customFormat="1" x14ac:dyDescent="0.25">
      <c r="A199" s="161" t="s">
        <v>557</v>
      </c>
      <c r="B199" s="161" t="s">
        <v>108</v>
      </c>
      <c r="C199" s="161" t="s">
        <v>109</v>
      </c>
      <c r="D199" s="161" t="s">
        <v>553</v>
      </c>
      <c r="E199" s="162">
        <v>446946000</v>
      </c>
      <c r="F199" s="162">
        <v>455146000</v>
      </c>
      <c r="G199" s="162">
        <v>455146000</v>
      </c>
      <c r="H199" s="162">
        <v>0</v>
      </c>
      <c r="I199" s="162">
        <v>0</v>
      </c>
      <c r="J199" s="162">
        <v>0</v>
      </c>
      <c r="K199" s="162">
        <v>453774704.60000002</v>
      </c>
      <c r="L199" s="162">
        <v>453774704.60000002</v>
      </c>
      <c r="M199" s="162">
        <v>1371295.4</v>
      </c>
      <c r="N199" s="162">
        <v>1371295.4</v>
      </c>
    </row>
    <row r="200" spans="1:14" s="161" customFormat="1" x14ac:dyDescent="0.25">
      <c r="A200" s="161" t="s">
        <v>557</v>
      </c>
      <c r="B200" s="161" t="s">
        <v>110</v>
      </c>
      <c r="C200" s="161" t="s">
        <v>111</v>
      </c>
      <c r="D200" s="161" t="s">
        <v>553</v>
      </c>
      <c r="E200" s="162">
        <v>591313000</v>
      </c>
      <c r="F200" s="162">
        <v>554097888</v>
      </c>
      <c r="G200" s="162">
        <v>554097888</v>
      </c>
      <c r="H200" s="162">
        <v>0</v>
      </c>
      <c r="I200" s="162">
        <v>0</v>
      </c>
      <c r="J200" s="162">
        <v>0</v>
      </c>
      <c r="K200" s="162">
        <v>523987194.23000002</v>
      </c>
      <c r="L200" s="162">
        <v>523987194.23000002</v>
      </c>
      <c r="M200" s="162">
        <v>30110693.77</v>
      </c>
      <c r="N200" s="162">
        <v>30110693.77</v>
      </c>
    </row>
    <row r="201" spans="1:14" s="161" customFormat="1" x14ac:dyDescent="0.25">
      <c r="A201" s="161" t="s">
        <v>557</v>
      </c>
      <c r="B201" s="161" t="s">
        <v>112</v>
      </c>
      <c r="C201" s="161" t="s">
        <v>113</v>
      </c>
      <c r="D201" s="161" t="s">
        <v>555</v>
      </c>
      <c r="E201" s="162">
        <v>586616000</v>
      </c>
      <c r="F201" s="162">
        <v>539462089</v>
      </c>
      <c r="G201" s="162">
        <v>539462089</v>
      </c>
      <c r="H201" s="162">
        <v>0</v>
      </c>
      <c r="I201" s="162">
        <v>0</v>
      </c>
      <c r="J201" s="162">
        <v>0</v>
      </c>
      <c r="K201" s="162">
        <v>528227230.30000001</v>
      </c>
      <c r="L201" s="162">
        <v>528227230.30000001</v>
      </c>
      <c r="M201" s="162">
        <v>11234858.699999999</v>
      </c>
      <c r="N201" s="162">
        <v>11234858.699999999</v>
      </c>
    </row>
    <row r="202" spans="1:14" s="161" customFormat="1" x14ac:dyDescent="0.25">
      <c r="A202" s="161" t="s">
        <v>557</v>
      </c>
      <c r="B202" s="161" t="s">
        <v>114</v>
      </c>
      <c r="C202" s="161" t="s">
        <v>115</v>
      </c>
      <c r="D202" s="161" t="s">
        <v>553</v>
      </c>
      <c r="E202" s="162">
        <v>711764000</v>
      </c>
      <c r="F202" s="162">
        <v>666572146</v>
      </c>
      <c r="G202" s="162">
        <v>666572146</v>
      </c>
      <c r="H202" s="162">
        <v>0</v>
      </c>
      <c r="I202" s="162">
        <v>0</v>
      </c>
      <c r="J202" s="162">
        <v>0</v>
      </c>
      <c r="K202" s="162">
        <v>615797648</v>
      </c>
      <c r="L202" s="162">
        <v>615797648</v>
      </c>
      <c r="M202" s="162">
        <v>50774498</v>
      </c>
      <c r="N202" s="162">
        <v>50774498</v>
      </c>
    </row>
    <row r="203" spans="1:14" s="161" customFormat="1" x14ac:dyDescent="0.25">
      <c r="A203" s="161" t="s">
        <v>557</v>
      </c>
      <c r="B203" s="161" t="s">
        <v>322</v>
      </c>
      <c r="C203" s="161" t="s">
        <v>578</v>
      </c>
      <c r="D203" s="161" t="s">
        <v>553</v>
      </c>
      <c r="E203" s="162">
        <v>675263000</v>
      </c>
      <c r="F203" s="162">
        <v>632901476</v>
      </c>
      <c r="G203" s="162">
        <v>632901476</v>
      </c>
      <c r="H203" s="162">
        <v>0</v>
      </c>
      <c r="I203" s="162">
        <v>0</v>
      </c>
      <c r="J203" s="162">
        <v>0</v>
      </c>
      <c r="K203" s="162">
        <v>584226534</v>
      </c>
      <c r="L203" s="162">
        <v>584226534</v>
      </c>
      <c r="M203" s="162">
        <v>48674942</v>
      </c>
      <c r="N203" s="162">
        <v>48674942</v>
      </c>
    </row>
    <row r="204" spans="1:14" s="161" customFormat="1" x14ac:dyDescent="0.25">
      <c r="A204" s="161" t="s">
        <v>557</v>
      </c>
      <c r="B204" s="161" t="s">
        <v>323</v>
      </c>
      <c r="C204" s="161" t="s">
        <v>596</v>
      </c>
      <c r="D204" s="161" t="s">
        <v>553</v>
      </c>
      <c r="E204" s="162">
        <v>36501000</v>
      </c>
      <c r="F204" s="162">
        <v>33670670</v>
      </c>
      <c r="G204" s="162">
        <v>33670670</v>
      </c>
      <c r="H204" s="162">
        <v>0</v>
      </c>
      <c r="I204" s="162">
        <v>0</v>
      </c>
      <c r="J204" s="162">
        <v>0</v>
      </c>
      <c r="K204" s="162">
        <v>31571114</v>
      </c>
      <c r="L204" s="162">
        <v>31571114</v>
      </c>
      <c r="M204" s="162">
        <v>2099556</v>
      </c>
      <c r="N204" s="162">
        <v>2099556</v>
      </c>
    </row>
    <row r="205" spans="1:14" s="161" customFormat="1" x14ac:dyDescent="0.25">
      <c r="A205" s="161" t="s">
        <v>557</v>
      </c>
      <c r="B205" s="161" t="s">
        <v>118</v>
      </c>
      <c r="C205" s="161" t="s">
        <v>119</v>
      </c>
      <c r="D205" s="161" t="s">
        <v>553</v>
      </c>
      <c r="E205" s="162">
        <v>699355000</v>
      </c>
      <c r="F205" s="162">
        <v>645125463</v>
      </c>
      <c r="G205" s="162">
        <v>645125463</v>
      </c>
      <c r="H205" s="162">
        <v>0</v>
      </c>
      <c r="I205" s="162">
        <v>0</v>
      </c>
      <c r="J205" s="162">
        <v>0</v>
      </c>
      <c r="K205" s="162">
        <v>589670226</v>
      </c>
      <c r="L205" s="162">
        <v>589670226</v>
      </c>
      <c r="M205" s="162">
        <v>55455237</v>
      </c>
      <c r="N205" s="162">
        <v>55455237</v>
      </c>
    </row>
    <row r="206" spans="1:14" s="161" customFormat="1" x14ac:dyDescent="0.25">
      <c r="A206" s="161" t="s">
        <v>557</v>
      </c>
      <c r="B206" s="161" t="s">
        <v>324</v>
      </c>
      <c r="C206" s="161" t="s">
        <v>121</v>
      </c>
      <c r="D206" s="161" t="s">
        <v>553</v>
      </c>
      <c r="E206" s="162">
        <v>370847000</v>
      </c>
      <c r="F206" s="162">
        <v>342090641</v>
      </c>
      <c r="G206" s="162">
        <v>342090641</v>
      </c>
      <c r="H206" s="162">
        <v>0</v>
      </c>
      <c r="I206" s="162">
        <v>0</v>
      </c>
      <c r="J206" s="162">
        <v>0</v>
      </c>
      <c r="K206" s="162">
        <v>305530257</v>
      </c>
      <c r="L206" s="162">
        <v>305530257</v>
      </c>
      <c r="M206" s="162">
        <v>36560384</v>
      </c>
      <c r="N206" s="162">
        <v>36560384</v>
      </c>
    </row>
    <row r="207" spans="1:14" s="161" customFormat="1" x14ac:dyDescent="0.25">
      <c r="A207" s="161" t="s">
        <v>557</v>
      </c>
      <c r="B207" s="161" t="s">
        <v>325</v>
      </c>
      <c r="C207" s="161" t="s">
        <v>123</v>
      </c>
      <c r="D207" s="161" t="s">
        <v>553</v>
      </c>
      <c r="E207" s="162">
        <v>109503000</v>
      </c>
      <c r="F207" s="162">
        <v>101011907</v>
      </c>
      <c r="G207" s="162">
        <v>101011907</v>
      </c>
      <c r="H207" s="162">
        <v>0</v>
      </c>
      <c r="I207" s="162">
        <v>0</v>
      </c>
      <c r="J207" s="162">
        <v>0</v>
      </c>
      <c r="K207" s="162">
        <v>94713323</v>
      </c>
      <c r="L207" s="162">
        <v>94713323</v>
      </c>
      <c r="M207" s="162">
        <v>6298584</v>
      </c>
      <c r="N207" s="162">
        <v>6298584</v>
      </c>
    </row>
    <row r="208" spans="1:14" s="161" customFormat="1" x14ac:dyDescent="0.25">
      <c r="A208" s="161" t="s">
        <v>557</v>
      </c>
      <c r="B208" s="161" t="s">
        <v>326</v>
      </c>
      <c r="C208" s="161" t="s">
        <v>125</v>
      </c>
      <c r="D208" s="161" t="s">
        <v>553</v>
      </c>
      <c r="E208" s="162">
        <v>219005000</v>
      </c>
      <c r="F208" s="162">
        <v>202022915</v>
      </c>
      <c r="G208" s="162">
        <v>202022915</v>
      </c>
      <c r="H208" s="162">
        <v>0</v>
      </c>
      <c r="I208" s="162">
        <v>0</v>
      </c>
      <c r="J208" s="162">
        <v>0</v>
      </c>
      <c r="K208" s="162">
        <v>189426646</v>
      </c>
      <c r="L208" s="162">
        <v>189426646</v>
      </c>
      <c r="M208" s="162">
        <v>12596269</v>
      </c>
      <c r="N208" s="162">
        <v>12596269</v>
      </c>
    </row>
    <row r="209" spans="1:14" s="161" customFormat="1" x14ac:dyDescent="0.25">
      <c r="A209" s="161" t="s">
        <v>557</v>
      </c>
      <c r="B209" s="161" t="s">
        <v>126</v>
      </c>
      <c r="C209" s="161" t="s">
        <v>127</v>
      </c>
      <c r="D209" s="161" t="s">
        <v>553</v>
      </c>
      <c r="E209" s="162">
        <v>1420150000</v>
      </c>
      <c r="F209" s="162">
        <v>1449321205</v>
      </c>
      <c r="G209" s="162">
        <v>1449321205</v>
      </c>
      <c r="H209" s="162">
        <v>0</v>
      </c>
      <c r="I209" s="162">
        <v>71306062.290000007</v>
      </c>
      <c r="J209" s="162">
        <v>0</v>
      </c>
      <c r="K209" s="162">
        <v>1175141868.73</v>
      </c>
      <c r="L209" s="162">
        <v>782008454.40999997</v>
      </c>
      <c r="M209" s="162">
        <v>202873273.97999999</v>
      </c>
      <c r="N209" s="162">
        <v>202873273.97999999</v>
      </c>
    </row>
    <row r="210" spans="1:14" s="161" customFormat="1" x14ac:dyDescent="0.25">
      <c r="A210" s="161" t="s">
        <v>557</v>
      </c>
      <c r="B210" s="161" t="s">
        <v>128</v>
      </c>
      <c r="C210" s="161" t="s">
        <v>129</v>
      </c>
      <c r="D210" s="161" t="s">
        <v>553</v>
      </c>
      <c r="E210" s="162">
        <v>451324000</v>
      </c>
      <c r="F210" s="162">
        <v>318174000</v>
      </c>
      <c r="G210" s="162">
        <v>318174000</v>
      </c>
      <c r="H210" s="162">
        <v>0</v>
      </c>
      <c r="I210" s="162">
        <v>3649587.71</v>
      </c>
      <c r="J210" s="162">
        <v>0</v>
      </c>
      <c r="K210" s="162">
        <v>279886763.86000001</v>
      </c>
      <c r="L210" s="162">
        <v>236365672.13999999</v>
      </c>
      <c r="M210" s="162">
        <v>34637648.43</v>
      </c>
      <c r="N210" s="162">
        <v>34637648.43</v>
      </c>
    </row>
    <row r="211" spans="1:14" s="161" customFormat="1" x14ac:dyDescent="0.25">
      <c r="A211" s="161" t="s">
        <v>557</v>
      </c>
      <c r="B211" s="161" t="s">
        <v>312</v>
      </c>
      <c r="C211" s="161" t="s">
        <v>313</v>
      </c>
      <c r="D211" s="161" t="s">
        <v>553</v>
      </c>
      <c r="E211" s="162">
        <v>292666000</v>
      </c>
      <c r="F211" s="162">
        <v>167666000</v>
      </c>
      <c r="G211" s="162">
        <v>167666000</v>
      </c>
      <c r="H211" s="162">
        <v>0</v>
      </c>
      <c r="I211" s="162">
        <v>27000</v>
      </c>
      <c r="J211" s="162">
        <v>0</v>
      </c>
      <c r="K211" s="162">
        <v>138395771.97</v>
      </c>
      <c r="L211" s="162">
        <v>127684686.97</v>
      </c>
      <c r="M211" s="162">
        <v>29243228.030000001</v>
      </c>
      <c r="N211" s="162">
        <v>29243228.030000001</v>
      </c>
    </row>
    <row r="212" spans="1:14" s="161" customFormat="1" x14ac:dyDescent="0.25">
      <c r="A212" s="161" t="s">
        <v>557</v>
      </c>
      <c r="B212" s="161" t="s">
        <v>327</v>
      </c>
      <c r="C212" s="161" t="s">
        <v>328</v>
      </c>
      <c r="D212" s="161" t="s">
        <v>553</v>
      </c>
      <c r="E212" s="162">
        <v>6984000</v>
      </c>
      <c r="F212" s="162">
        <v>4984000</v>
      </c>
      <c r="G212" s="162">
        <v>4984000</v>
      </c>
      <c r="H212" s="162">
        <v>0</v>
      </c>
      <c r="I212" s="162">
        <v>40226.65</v>
      </c>
      <c r="J212" s="162">
        <v>0</v>
      </c>
      <c r="K212" s="162">
        <v>2809201.69</v>
      </c>
      <c r="L212" s="162">
        <v>1887552.01</v>
      </c>
      <c r="M212" s="162">
        <v>2134571.66</v>
      </c>
      <c r="N212" s="162">
        <v>2134571.66</v>
      </c>
    </row>
    <row r="213" spans="1:14" s="161" customFormat="1" x14ac:dyDescent="0.25">
      <c r="A213" s="161" t="s">
        <v>557</v>
      </c>
      <c r="B213" s="161" t="s">
        <v>130</v>
      </c>
      <c r="C213" s="161" t="s">
        <v>131</v>
      </c>
      <c r="D213" s="161" t="s">
        <v>553</v>
      </c>
      <c r="E213" s="162">
        <v>115000000</v>
      </c>
      <c r="F213" s="162">
        <v>105750000</v>
      </c>
      <c r="G213" s="162">
        <v>105750000</v>
      </c>
      <c r="H213" s="162">
        <v>0</v>
      </c>
      <c r="I213" s="162">
        <v>3036299.31</v>
      </c>
      <c r="J213" s="162">
        <v>0</v>
      </c>
      <c r="K213" s="162">
        <v>100813913.08</v>
      </c>
      <c r="L213" s="162">
        <v>76051963</v>
      </c>
      <c r="M213" s="162">
        <v>1899787.61</v>
      </c>
      <c r="N213" s="162">
        <v>1899787.61</v>
      </c>
    </row>
    <row r="214" spans="1:14" s="161" customFormat="1" x14ac:dyDescent="0.25">
      <c r="A214" s="161" t="s">
        <v>557</v>
      </c>
      <c r="B214" s="161" t="s">
        <v>329</v>
      </c>
      <c r="C214" s="161" t="s">
        <v>330</v>
      </c>
      <c r="D214" s="161" t="s">
        <v>553</v>
      </c>
      <c r="E214" s="162">
        <v>1571000</v>
      </c>
      <c r="F214" s="162">
        <v>2071000</v>
      </c>
      <c r="G214" s="162">
        <v>2071000</v>
      </c>
      <c r="H214" s="162">
        <v>0</v>
      </c>
      <c r="I214" s="162">
        <v>162259.43</v>
      </c>
      <c r="J214" s="162">
        <v>0</v>
      </c>
      <c r="K214" s="162">
        <v>1435367.25</v>
      </c>
      <c r="L214" s="162">
        <v>1299456</v>
      </c>
      <c r="M214" s="162">
        <v>473373.32</v>
      </c>
      <c r="N214" s="162">
        <v>473373.32</v>
      </c>
    </row>
    <row r="215" spans="1:14" s="161" customFormat="1" x14ac:dyDescent="0.25">
      <c r="A215" s="161" t="s">
        <v>557</v>
      </c>
      <c r="B215" s="161" t="s">
        <v>132</v>
      </c>
      <c r="C215" s="161" t="s">
        <v>133</v>
      </c>
      <c r="D215" s="161" t="s">
        <v>553</v>
      </c>
      <c r="E215" s="162">
        <v>35103000</v>
      </c>
      <c r="F215" s="162">
        <v>37703000</v>
      </c>
      <c r="G215" s="162">
        <v>37703000</v>
      </c>
      <c r="H215" s="162">
        <v>0</v>
      </c>
      <c r="I215" s="162">
        <v>383802.32</v>
      </c>
      <c r="J215" s="162">
        <v>0</v>
      </c>
      <c r="K215" s="162">
        <v>36432509.869999997</v>
      </c>
      <c r="L215" s="162">
        <v>29442014.16</v>
      </c>
      <c r="M215" s="162">
        <v>886687.81</v>
      </c>
      <c r="N215" s="162">
        <v>886687.81</v>
      </c>
    </row>
    <row r="216" spans="1:14" s="161" customFormat="1" x14ac:dyDescent="0.25">
      <c r="A216" s="161" t="s">
        <v>557</v>
      </c>
      <c r="B216" s="161" t="s">
        <v>134</v>
      </c>
      <c r="C216" s="161" t="s">
        <v>135</v>
      </c>
      <c r="D216" s="161" t="s">
        <v>553</v>
      </c>
      <c r="E216" s="162">
        <v>152420000</v>
      </c>
      <c r="F216" s="162">
        <v>131420000</v>
      </c>
      <c r="G216" s="162">
        <v>131420000</v>
      </c>
      <c r="H216" s="162">
        <v>0</v>
      </c>
      <c r="I216" s="162">
        <v>21544085.219999999</v>
      </c>
      <c r="J216" s="162">
        <v>0</v>
      </c>
      <c r="K216" s="162">
        <v>94799089.810000002</v>
      </c>
      <c r="L216" s="162">
        <v>90937662.370000005</v>
      </c>
      <c r="M216" s="162">
        <v>15076824.970000001</v>
      </c>
      <c r="N216" s="162">
        <v>15076824.970000001</v>
      </c>
    </row>
    <row r="217" spans="1:14" s="161" customFormat="1" x14ac:dyDescent="0.25">
      <c r="A217" s="161" t="s">
        <v>557</v>
      </c>
      <c r="B217" s="161" t="s">
        <v>136</v>
      </c>
      <c r="C217" s="161" t="s">
        <v>137</v>
      </c>
      <c r="D217" s="161" t="s">
        <v>553</v>
      </c>
      <c r="E217" s="162">
        <v>20500000</v>
      </c>
      <c r="F217" s="162">
        <v>20500000</v>
      </c>
      <c r="G217" s="162">
        <v>20500000</v>
      </c>
      <c r="H217" s="162">
        <v>0</v>
      </c>
      <c r="I217" s="162">
        <v>4191169</v>
      </c>
      <c r="J217" s="162">
        <v>0</v>
      </c>
      <c r="K217" s="162">
        <v>16308129</v>
      </c>
      <c r="L217" s="162">
        <v>16308129</v>
      </c>
      <c r="M217" s="162">
        <v>702</v>
      </c>
      <c r="N217" s="162">
        <v>702</v>
      </c>
    </row>
    <row r="218" spans="1:14" s="161" customFormat="1" x14ac:dyDescent="0.25">
      <c r="A218" s="161" t="s">
        <v>557</v>
      </c>
      <c r="B218" s="161" t="s">
        <v>138</v>
      </c>
      <c r="C218" s="161" t="s">
        <v>139</v>
      </c>
      <c r="D218" s="161" t="s">
        <v>553</v>
      </c>
      <c r="E218" s="162">
        <v>54000000</v>
      </c>
      <c r="F218" s="162">
        <v>49000000</v>
      </c>
      <c r="G218" s="162">
        <v>49000000</v>
      </c>
      <c r="H218" s="162">
        <v>0</v>
      </c>
      <c r="I218" s="162">
        <v>9000000</v>
      </c>
      <c r="J218" s="162">
        <v>0</v>
      </c>
      <c r="K218" s="162">
        <v>36699720</v>
      </c>
      <c r="L218" s="162">
        <v>36699720</v>
      </c>
      <c r="M218" s="162">
        <v>3300280</v>
      </c>
      <c r="N218" s="162">
        <v>3300280</v>
      </c>
    </row>
    <row r="219" spans="1:14" s="161" customFormat="1" x14ac:dyDescent="0.25">
      <c r="A219" s="161" t="s">
        <v>557</v>
      </c>
      <c r="B219" s="161" t="s">
        <v>140</v>
      </c>
      <c r="C219" s="161" t="s">
        <v>141</v>
      </c>
      <c r="D219" s="161" t="s">
        <v>553</v>
      </c>
      <c r="E219" s="162">
        <v>16400000</v>
      </c>
      <c r="F219" s="162">
        <v>10400000</v>
      </c>
      <c r="G219" s="162">
        <v>10400000</v>
      </c>
      <c r="H219" s="162">
        <v>0</v>
      </c>
      <c r="I219" s="162">
        <v>475290</v>
      </c>
      <c r="J219" s="162">
        <v>0</v>
      </c>
      <c r="K219" s="162">
        <v>2821155</v>
      </c>
      <c r="L219" s="162">
        <v>2554085</v>
      </c>
      <c r="M219" s="162">
        <v>7103555</v>
      </c>
      <c r="N219" s="162">
        <v>7103555</v>
      </c>
    </row>
    <row r="220" spans="1:14" s="161" customFormat="1" x14ac:dyDescent="0.25">
      <c r="A220" s="161" t="s">
        <v>557</v>
      </c>
      <c r="B220" s="161" t="s">
        <v>142</v>
      </c>
      <c r="C220" s="161" t="s">
        <v>143</v>
      </c>
      <c r="D220" s="161" t="s">
        <v>553</v>
      </c>
      <c r="E220" s="162">
        <v>56520000</v>
      </c>
      <c r="F220" s="162">
        <v>46520000</v>
      </c>
      <c r="G220" s="162">
        <v>46520000</v>
      </c>
      <c r="H220" s="162">
        <v>0</v>
      </c>
      <c r="I220" s="162">
        <v>7796626.2199999997</v>
      </c>
      <c r="J220" s="162">
        <v>0</v>
      </c>
      <c r="K220" s="162">
        <v>34052106.609999999</v>
      </c>
      <c r="L220" s="162">
        <v>30457749.170000002</v>
      </c>
      <c r="M220" s="162">
        <v>4671267.17</v>
      </c>
      <c r="N220" s="162">
        <v>4671267.17</v>
      </c>
    </row>
    <row r="221" spans="1:14" s="161" customFormat="1" x14ac:dyDescent="0.25">
      <c r="A221" s="161" t="s">
        <v>557</v>
      </c>
      <c r="B221" s="161" t="s">
        <v>144</v>
      </c>
      <c r="C221" s="161" t="s">
        <v>145</v>
      </c>
      <c r="D221" s="161" t="s">
        <v>553</v>
      </c>
      <c r="E221" s="162">
        <v>5000000</v>
      </c>
      <c r="F221" s="162">
        <v>5000000</v>
      </c>
      <c r="G221" s="162">
        <v>5000000</v>
      </c>
      <c r="H221" s="162">
        <v>0</v>
      </c>
      <c r="I221" s="162">
        <v>81000</v>
      </c>
      <c r="J221" s="162">
        <v>0</v>
      </c>
      <c r="K221" s="162">
        <v>4917979.2</v>
      </c>
      <c r="L221" s="162">
        <v>4917979.2</v>
      </c>
      <c r="M221" s="162">
        <v>1020.8</v>
      </c>
      <c r="N221" s="162">
        <v>1020.8</v>
      </c>
    </row>
    <row r="222" spans="1:14" s="161" customFormat="1" x14ac:dyDescent="0.25">
      <c r="A222" s="161" t="s">
        <v>557</v>
      </c>
      <c r="B222" s="161" t="s">
        <v>146</v>
      </c>
      <c r="C222" s="161" t="s">
        <v>147</v>
      </c>
      <c r="D222" s="161" t="s">
        <v>553</v>
      </c>
      <c r="E222" s="162">
        <v>49449000</v>
      </c>
      <c r="F222" s="162">
        <v>9449000</v>
      </c>
      <c r="G222" s="162">
        <v>9449000</v>
      </c>
      <c r="H222" s="162">
        <v>0</v>
      </c>
      <c r="I222" s="162">
        <v>633644.31999999995</v>
      </c>
      <c r="J222" s="162">
        <v>0</v>
      </c>
      <c r="K222" s="162">
        <v>1831767.78</v>
      </c>
      <c r="L222" s="162">
        <v>1382111.88</v>
      </c>
      <c r="M222" s="162">
        <v>6983587.9000000004</v>
      </c>
      <c r="N222" s="162">
        <v>6983587.9000000004</v>
      </c>
    </row>
    <row r="223" spans="1:14" s="161" customFormat="1" x14ac:dyDescent="0.25">
      <c r="A223" s="161" t="s">
        <v>557</v>
      </c>
      <c r="B223" s="161" t="s">
        <v>148</v>
      </c>
      <c r="C223" s="161" t="s">
        <v>149</v>
      </c>
      <c r="D223" s="161" t="s">
        <v>553</v>
      </c>
      <c r="E223" s="162">
        <v>1000000</v>
      </c>
      <c r="F223" s="162">
        <v>1000000</v>
      </c>
      <c r="G223" s="162">
        <v>1000000</v>
      </c>
      <c r="H223" s="162">
        <v>0</v>
      </c>
      <c r="I223" s="162">
        <v>205700</v>
      </c>
      <c r="J223" s="162">
        <v>0</v>
      </c>
      <c r="K223" s="162">
        <v>289360</v>
      </c>
      <c r="L223" s="162">
        <v>195060</v>
      </c>
      <c r="M223" s="162">
        <v>504940</v>
      </c>
      <c r="N223" s="162">
        <v>504940</v>
      </c>
    </row>
    <row r="224" spans="1:14" s="161" customFormat="1" x14ac:dyDescent="0.25">
      <c r="A224" s="161" t="s">
        <v>557</v>
      </c>
      <c r="B224" s="161" t="s">
        <v>150</v>
      </c>
      <c r="C224" s="161" t="s">
        <v>151</v>
      </c>
      <c r="D224" s="161" t="s">
        <v>553</v>
      </c>
      <c r="E224" s="162">
        <v>3100000</v>
      </c>
      <c r="F224" s="162">
        <v>3100000</v>
      </c>
      <c r="G224" s="162">
        <v>3100000</v>
      </c>
      <c r="H224" s="162">
        <v>0</v>
      </c>
      <c r="I224" s="162">
        <v>102277</v>
      </c>
      <c r="J224" s="162">
        <v>0</v>
      </c>
      <c r="K224" s="162">
        <v>322143</v>
      </c>
      <c r="L224" s="162">
        <v>322143</v>
      </c>
      <c r="M224" s="162">
        <v>2675580</v>
      </c>
      <c r="N224" s="162">
        <v>2675580</v>
      </c>
    </row>
    <row r="225" spans="1:14" s="161" customFormat="1" x14ac:dyDescent="0.25">
      <c r="A225" s="161" t="s">
        <v>557</v>
      </c>
      <c r="B225" s="161" t="s">
        <v>331</v>
      </c>
      <c r="C225" s="161" t="s">
        <v>332</v>
      </c>
      <c r="D225" s="161" t="s">
        <v>553</v>
      </c>
      <c r="E225" s="162">
        <v>600000</v>
      </c>
      <c r="F225" s="162">
        <v>600000</v>
      </c>
      <c r="G225" s="162">
        <v>600000</v>
      </c>
      <c r="H225" s="162">
        <v>0</v>
      </c>
      <c r="I225" s="162">
        <v>0</v>
      </c>
      <c r="J225" s="162">
        <v>0</v>
      </c>
      <c r="K225" s="162">
        <v>0</v>
      </c>
      <c r="L225" s="162">
        <v>0</v>
      </c>
      <c r="M225" s="162">
        <v>600000</v>
      </c>
      <c r="N225" s="162">
        <v>600000</v>
      </c>
    </row>
    <row r="226" spans="1:14" s="161" customFormat="1" x14ac:dyDescent="0.25">
      <c r="A226" s="161" t="s">
        <v>557</v>
      </c>
      <c r="B226" s="161" t="s">
        <v>152</v>
      </c>
      <c r="C226" s="161" t="s">
        <v>153</v>
      </c>
      <c r="D226" s="161" t="s">
        <v>553</v>
      </c>
      <c r="E226" s="162">
        <v>200000</v>
      </c>
      <c r="F226" s="162">
        <v>200000</v>
      </c>
      <c r="G226" s="162">
        <v>200000</v>
      </c>
      <c r="H226" s="162">
        <v>0</v>
      </c>
      <c r="I226" s="162">
        <v>67024.5</v>
      </c>
      <c r="J226" s="162">
        <v>0</v>
      </c>
      <c r="K226" s="162">
        <v>82975.5</v>
      </c>
      <c r="L226" s="162">
        <v>82975.5</v>
      </c>
      <c r="M226" s="162">
        <v>50000</v>
      </c>
      <c r="N226" s="162">
        <v>50000</v>
      </c>
    </row>
    <row r="227" spans="1:14" s="161" customFormat="1" x14ac:dyDescent="0.25">
      <c r="A227" s="161" t="s">
        <v>557</v>
      </c>
      <c r="B227" s="161" t="s">
        <v>333</v>
      </c>
      <c r="C227" s="161" t="s">
        <v>334</v>
      </c>
      <c r="D227" s="161" t="s">
        <v>553</v>
      </c>
      <c r="E227" s="162">
        <v>44549000</v>
      </c>
      <c r="F227" s="162">
        <v>4549000</v>
      </c>
      <c r="G227" s="162">
        <v>4549000</v>
      </c>
      <c r="H227" s="162">
        <v>0</v>
      </c>
      <c r="I227" s="162">
        <v>258642.82</v>
      </c>
      <c r="J227" s="162">
        <v>0</v>
      </c>
      <c r="K227" s="162">
        <v>1137289.28</v>
      </c>
      <c r="L227" s="162">
        <v>781933.38</v>
      </c>
      <c r="M227" s="162">
        <v>3153067.9</v>
      </c>
      <c r="N227" s="162">
        <v>3153067.9</v>
      </c>
    </row>
    <row r="228" spans="1:14" s="161" customFormat="1" x14ac:dyDescent="0.25">
      <c r="A228" s="161" t="s">
        <v>557</v>
      </c>
      <c r="B228" s="161" t="s">
        <v>154</v>
      </c>
      <c r="C228" s="161" t="s">
        <v>155</v>
      </c>
      <c r="D228" s="161" t="s">
        <v>553</v>
      </c>
      <c r="E228" s="162">
        <v>508035000</v>
      </c>
      <c r="F228" s="162">
        <v>747035000</v>
      </c>
      <c r="G228" s="162">
        <v>747035000</v>
      </c>
      <c r="H228" s="162">
        <v>0</v>
      </c>
      <c r="I228" s="162">
        <v>17836221.260000002</v>
      </c>
      <c r="J228" s="162">
        <v>0</v>
      </c>
      <c r="K228" s="162">
        <v>623502609.25999999</v>
      </c>
      <c r="L228" s="162">
        <v>330874971.31</v>
      </c>
      <c r="M228" s="162">
        <v>105696169.48</v>
      </c>
      <c r="N228" s="162">
        <v>105696169.48</v>
      </c>
    </row>
    <row r="229" spans="1:14" s="161" customFormat="1" x14ac:dyDescent="0.25">
      <c r="A229" s="161" t="s">
        <v>557</v>
      </c>
      <c r="B229" s="161" t="s">
        <v>335</v>
      </c>
      <c r="C229" s="161" t="s">
        <v>336</v>
      </c>
      <c r="D229" s="161" t="s">
        <v>553</v>
      </c>
      <c r="E229" s="162">
        <v>2000000</v>
      </c>
      <c r="F229" s="162">
        <v>1000000</v>
      </c>
      <c r="G229" s="162">
        <v>1000000</v>
      </c>
      <c r="H229" s="162">
        <v>0</v>
      </c>
      <c r="I229" s="162">
        <v>0</v>
      </c>
      <c r="J229" s="162">
        <v>0</v>
      </c>
      <c r="K229" s="162">
        <v>18275</v>
      </c>
      <c r="L229" s="162">
        <v>18275</v>
      </c>
      <c r="M229" s="162">
        <v>981725</v>
      </c>
      <c r="N229" s="162">
        <v>981725</v>
      </c>
    </row>
    <row r="230" spans="1:14" s="161" customFormat="1" x14ac:dyDescent="0.25">
      <c r="A230" s="161" t="s">
        <v>557</v>
      </c>
      <c r="B230" s="161" t="s">
        <v>337</v>
      </c>
      <c r="C230" s="161" t="s">
        <v>338</v>
      </c>
      <c r="D230" s="161" t="s">
        <v>553</v>
      </c>
      <c r="E230" s="162">
        <v>141090000</v>
      </c>
      <c r="F230" s="162">
        <v>384090000</v>
      </c>
      <c r="G230" s="162">
        <v>384090000</v>
      </c>
      <c r="H230" s="162">
        <v>0</v>
      </c>
      <c r="I230" s="162">
        <v>4556956</v>
      </c>
      <c r="J230" s="162">
        <v>0</v>
      </c>
      <c r="K230" s="162">
        <v>318942321.89999998</v>
      </c>
      <c r="L230" s="162">
        <v>75393837.510000005</v>
      </c>
      <c r="M230" s="162">
        <v>60590722.100000001</v>
      </c>
      <c r="N230" s="162">
        <v>60590722.100000001</v>
      </c>
    </row>
    <row r="231" spans="1:14" s="161" customFormat="1" x14ac:dyDescent="0.25">
      <c r="A231" s="161" t="s">
        <v>557</v>
      </c>
      <c r="B231" s="161" t="s">
        <v>339</v>
      </c>
      <c r="C231" s="161" t="s">
        <v>340</v>
      </c>
      <c r="D231" s="161" t="s">
        <v>553</v>
      </c>
      <c r="E231" s="162">
        <v>3000000</v>
      </c>
      <c r="F231" s="162">
        <v>0</v>
      </c>
      <c r="G231" s="162">
        <v>0</v>
      </c>
      <c r="H231" s="162">
        <v>0</v>
      </c>
      <c r="I231" s="162">
        <v>0</v>
      </c>
      <c r="J231" s="162">
        <v>0</v>
      </c>
      <c r="K231" s="162">
        <v>0</v>
      </c>
      <c r="L231" s="162">
        <v>0</v>
      </c>
      <c r="M231" s="162">
        <v>0</v>
      </c>
      <c r="N231" s="162">
        <v>0</v>
      </c>
    </row>
    <row r="232" spans="1:14" s="161" customFormat="1" x14ac:dyDescent="0.25">
      <c r="A232" s="161" t="s">
        <v>557</v>
      </c>
      <c r="B232" s="161" t="s">
        <v>157</v>
      </c>
      <c r="C232" s="161" t="s">
        <v>158</v>
      </c>
      <c r="D232" s="161" t="s">
        <v>553</v>
      </c>
      <c r="E232" s="162">
        <v>347095000</v>
      </c>
      <c r="F232" s="162">
        <v>347095000</v>
      </c>
      <c r="G232" s="162">
        <v>347095000</v>
      </c>
      <c r="H232" s="162">
        <v>0</v>
      </c>
      <c r="I232" s="162">
        <v>10000000</v>
      </c>
      <c r="J232" s="162">
        <v>0</v>
      </c>
      <c r="K232" s="162">
        <v>298532902.56</v>
      </c>
      <c r="L232" s="162">
        <v>249646223</v>
      </c>
      <c r="M232" s="162">
        <v>38562097.439999998</v>
      </c>
      <c r="N232" s="162">
        <v>38562097.439999998</v>
      </c>
    </row>
    <row r="233" spans="1:14" s="161" customFormat="1" x14ac:dyDescent="0.25">
      <c r="A233" s="161" t="s">
        <v>557</v>
      </c>
      <c r="B233" s="161" t="s">
        <v>159</v>
      </c>
      <c r="C233" s="161" t="s">
        <v>160</v>
      </c>
      <c r="D233" s="161" t="s">
        <v>553</v>
      </c>
      <c r="E233" s="162">
        <v>14850000</v>
      </c>
      <c r="F233" s="162">
        <v>14850000</v>
      </c>
      <c r="G233" s="162">
        <v>14850000</v>
      </c>
      <c r="H233" s="162">
        <v>0</v>
      </c>
      <c r="I233" s="162">
        <v>3279265.26</v>
      </c>
      <c r="J233" s="162">
        <v>0</v>
      </c>
      <c r="K233" s="162">
        <v>6009109.7999999998</v>
      </c>
      <c r="L233" s="162">
        <v>5816635.7999999998</v>
      </c>
      <c r="M233" s="162">
        <v>5561624.9400000004</v>
      </c>
      <c r="N233" s="162">
        <v>5561624.9400000004</v>
      </c>
    </row>
    <row r="234" spans="1:14" s="161" customFormat="1" x14ac:dyDescent="0.25">
      <c r="A234" s="161" t="s">
        <v>557</v>
      </c>
      <c r="B234" s="161" t="s">
        <v>161</v>
      </c>
      <c r="C234" s="161" t="s">
        <v>162</v>
      </c>
      <c r="D234" s="161" t="s">
        <v>553</v>
      </c>
      <c r="E234" s="162">
        <v>44950000</v>
      </c>
      <c r="F234" s="162">
        <v>44271205</v>
      </c>
      <c r="G234" s="162">
        <v>44271205</v>
      </c>
      <c r="H234" s="162">
        <v>0</v>
      </c>
      <c r="I234" s="162">
        <v>1755810</v>
      </c>
      <c r="J234" s="162">
        <v>0</v>
      </c>
      <c r="K234" s="162">
        <v>34378868.579999998</v>
      </c>
      <c r="L234" s="162">
        <v>34368948.579999998</v>
      </c>
      <c r="M234" s="162">
        <v>8136526.4199999999</v>
      </c>
      <c r="N234" s="162">
        <v>8136526.4199999999</v>
      </c>
    </row>
    <row r="235" spans="1:14" s="161" customFormat="1" x14ac:dyDescent="0.25">
      <c r="A235" s="161" t="s">
        <v>557</v>
      </c>
      <c r="B235" s="161" t="s">
        <v>163</v>
      </c>
      <c r="C235" s="161" t="s">
        <v>164</v>
      </c>
      <c r="D235" s="161" t="s">
        <v>553</v>
      </c>
      <c r="E235" s="162">
        <v>450000</v>
      </c>
      <c r="F235" s="162">
        <v>1600000</v>
      </c>
      <c r="G235" s="162">
        <v>1600000</v>
      </c>
      <c r="H235" s="162">
        <v>0</v>
      </c>
      <c r="I235" s="162">
        <v>225610</v>
      </c>
      <c r="J235" s="162">
        <v>0</v>
      </c>
      <c r="K235" s="162">
        <v>925765</v>
      </c>
      <c r="L235" s="162">
        <v>915845</v>
      </c>
      <c r="M235" s="162">
        <v>448625</v>
      </c>
      <c r="N235" s="162">
        <v>448625</v>
      </c>
    </row>
    <row r="236" spans="1:14" s="161" customFormat="1" x14ac:dyDescent="0.25">
      <c r="A236" s="161" t="s">
        <v>557</v>
      </c>
      <c r="B236" s="161" t="s">
        <v>165</v>
      </c>
      <c r="C236" s="161" t="s">
        <v>166</v>
      </c>
      <c r="D236" s="161" t="s">
        <v>553</v>
      </c>
      <c r="E236" s="162">
        <v>34000000</v>
      </c>
      <c r="F236" s="162">
        <v>34000000</v>
      </c>
      <c r="G236" s="162">
        <v>34000000</v>
      </c>
      <c r="H236" s="162">
        <v>0</v>
      </c>
      <c r="I236" s="162">
        <v>1530200</v>
      </c>
      <c r="J236" s="162">
        <v>0</v>
      </c>
      <c r="K236" s="162">
        <v>26794450</v>
      </c>
      <c r="L236" s="162">
        <v>26794450</v>
      </c>
      <c r="M236" s="162">
        <v>5675350</v>
      </c>
      <c r="N236" s="162">
        <v>5675350</v>
      </c>
    </row>
    <row r="237" spans="1:14" s="161" customFormat="1" x14ac:dyDescent="0.25">
      <c r="A237" s="161" t="s">
        <v>557</v>
      </c>
      <c r="B237" s="161" t="s">
        <v>167</v>
      </c>
      <c r="C237" s="161" t="s">
        <v>168</v>
      </c>
      <c r="D237" s="161" t="s">
        <v>553</v>
      </c>
      <c r="E237" s="162">
        <v>3000000</v>
      </c>
      <c r="F237" s="162">
        <v>2550000</v>
      </c>
      <c r="G237" s="162">
        <v>2550000</v>
      </c>
      <c r="H237" s="162">
        <v>0</v>
      </c>
      <c r="I237" s="162">
        <v>0</v>
      </c>
      <c r="J237" s="162">
        <v>0</v>
      </c>
      <c r="K237" s="162">
        <v>1986202.24</v>
      </c>
      <c r="L237" s="162">
        <v>1986202.24</v>
      </c>
      <c r="M237" s="162">
        <v>563797.76000000001</v>
      </c>
      <c r="N237" s="162">
        <v>563797.76000000001</v>
      </c>
    </row>
    <row r="238" spans="1:14" s="161" customFormat="1" x14ac:dyDescent="0.25">
      <c r="A238" s="161" t="s">
        <v>557</v>
      </c>
      <c r="B238" s="161" t="s">
        <v>169</v>
      </c>
      <c r="C238" s="161" t="s">
        <v>170</v>
      </c>
      <c r="D238" s="161" t="s">
        <v>553</v>
      </c>
      <c r="E238" s="162">
        <v>7500000</v>
      </c>
      <c r="F238" s="162">
        <v>6121205</v>
      </c>
      <c r="G238" s="162">
        <v>6121205</v>
      </c>
      <c r="H238" s="162">
        <v>0</v>
      </c>
      <c r="I238" s="162">
        <v>0</v>
      </c>
      <c r="J238" s="162">
        <v>0</v>
      </c>
      <c r="K238" s="162">
        <v>4672451.34</v>
      </c>
      <c r="L238" s="162">
        <v>4672451.34</v>
      </c>
      <c r="M238" s="162">
        <v>1448753.66</v>
      </c>
      <c r="N238" s="162">
        <v>1448753.66</v>
      </c>
    </row>
    <row r="239" spans="1:14" s="161" customFormat="1" x14ac:dyDescent="0.25">
      <c r="A239" s="161" t="s">
        <v>557</v>
      </c>
      <c r="B239" s="161" t="s">
        <v>171</v>
      </c>
      <c r="C239" s="161" t="s">
        <v>172</v>
      </c>
      <c r="D239" s="161" t="s">
        <v>553</v>
      </c>
      <c r="E239" s="162">
        <v>91000000</v>
      </c>
      <c r="F239" s="162">
        <v>91000000</v>
      </c>
      <c r="G239" s="162">
        <v>91000000</v>
      </c>
      <c r="H239" s="162">
        <v>0</v>
      </c>
      <c r="I239" s="162">
        <v>15042546</v>
      </c>
      <c r="J239" s="162">
        <v>0</v>
      </c>
      <c r="K239" s="162">
        <v>75076900</v>
      </c>
      <c r="L239" s="162">
        <v>49119446</v>
      </c>
      <c r="M239" s="162">
        <v>880554</v>
      </c>
      <c r="N239" s="162">
        <v>880554</v>
      </c>
    </row>
    <row r="240" spans="1:14" s="161" customFormat="1" x14ac:dyDescent="0.25">
      <c r="A240" s="161" t="s">
        <v>557</v>
      </c>
      <c r="B240" s="161" t="s">
        <v>173</v>
      </c>
      <c r="C240" s="161" t="s">
        <v>174</v>
      </c>
      <c r="D240" s="161" t="s">
        <v>553</v>
      </c>
      <c r="E240" s="162">
        <v>91000000</v>
      </c>
      <c r="F240" s="162">
        <v>91000000</v>
      </c>
      <c r="G240" s="162">
        <v>91000000</v>
      </c>
      <c r="H240" s="162">
        <v>0</v>
      </c>
      <c r="I240" s="162">
        <v>15042546</v>
      </c>
      <c r="J240" s="162">
        <v>0</v>
      </c>
      <c r="K240" s="162">
        <v>75076900</v>
      </c>
      <c r="L240" s="162">
        <v>49119446</v>
      </c>
      <c r="M240" s="162">
        <v>880554</v>
      </c>
      <c r="N240" s="162">
        <v>880554</v>
      </c>
    </row>
    <row r="241" spans="1:14" s="161" customFormat="1" x14ac:dyDescent="0.25">
      <c r="A241" s="161" t="s">
        <v>557</v>
      </c>
      <c r="B241" s="161" t="s">
        <v>175</v>
      </c>
      <c r="C241" s="161" t="s">
        <v>176</v>
      </c>
      <c r="D241" s="161" t="s">
        <v>553</v>
      </c>
      <c r="E241" s="162">
        <v>6000000</v>
      </c>
      <c r="F241" s="162">
        <v>6000000</v>
      </c>
      <c r="G241" s="162">
        <v>6000000</v>
      </c>
      <c r="H241" s="162">
        <v>0</v>
      </c>
      <c r="I241" s="162">
        <v>0</v>
      </c>
      <c r="J241" s="162">
        <v>0</v>
      </c>
      <c r="K241" s="162">
        <v>5999561</v>
      </c>
      <c r="L241" s="162">
        <v>2224561</v>
      </c>
      <c r="M241" s="162">
        <v>439</v>
      </c>
      <c r="N241" s="162">
        <v>439</v>
      </c>
    </row>
    <row r="242" spans="1:14" s="161" customFormat="1" x14ac:dyDescent="0.25">
      <c r="A242" s="161" t="s">
        <v>557</v>
      </c>
      <c r="B242" s="161" t="s">
        <v>316</v>
      </c>
      <c r="C242" s="161" t="s">
        <v>317</v>
      </c>
      <c r="D242" s="161" t="s">
        <v>553</v>
      </c>
      <c r="E242" s="162">
        <v>6000000</v>
      </c>
      <c r="F242" s="162">
        <v>6000000</v>
      </c>
      <c r="G242" s="162">
        <v>6000000</v>
      </c>
      <c r="H242" s="162">
        <v>0</v>
      </c>
      <c r="I242" s="162">
        <v>0</v>
      </c>
      <c r="J242" s="162">
        <v>0</v>
      </c>
      <c r="K242" s="162">
        <v>5999561</v>
      </c>
      <c r="L242" s="162">
        <v>2224561</v>
      </c>
      <c r="M242" s="162">
        <v>439</v>
      </c>
      <c r="N242" s="162">
        <v>439</v>
      </c>
    </row>
    <row r="243" spans="1:14" s="161" customFormat="1" x14ac:dyDescent="0.25">
      <c r="A243" s="161" t="s">
        <v>557</v>
      </c>
      <c r="B243" s="161" t="s">
        <v>181</v>
      </c>
      <c r="C243" s="161" t="s">
        <v>182</v>
      </c>
      <c r="D243" s="161" t="s">
        <v>553</v>
      </c>
      <c r="E243" s="162">
        <v>113272000</v>
      </c>
      <c r="F243" s="162">
        <v>98272000</v>
      </c>
      <c r="G243" s="162">
        <v>98272000</v>
      </c>
      <c r="H243" s="162">
        <v>0</v>
      </c>
      <c r="I243" s="162">
        <v>9878597</v>
      </c>
      <c r="J243" s="162">
        <v>0</v>
      </c>
      <c r="K243" s="162">
        <v>58806421.439999998</v>
      </c>
      <c r="L243" s="162">
        <v>36547831.130000003</v>
      </c>
      <c r="M243" s="162">
        <v>29586981.559999999</v>
      </c>
      <c r="N243" s="162">
        <v>29586981.559999999</v>
      </c>
    </row>
    <row r="244" spans="1:14" s="161" customFormat="1" x14ac:dyDescent="0.25">
      <c r="A244" s="161" t="s">
        <v>557</v>
      </c>
      <c r="B244" s="161" t="s">
        <v>183</v>
      </c>
      <c r="C244" s="161" t="s">
        <v>184</v>
      </c>
      <c r="D244" s="161" t="s">
        <v>553</v>
      </c>
      <c r="E244" s="162">
        <v>19900000</v>
      </c>
      <c r="F244" s="162">
        <v>19900000</v>
      </c>
      <c r="G244" s="162">
        <v>19900000</v>
      </c>
      <c r="H244" s="162">
        <v>0</v>
      </c>
      <c r="I244" s="162">
        <v>3626541</v>
      </c>
      <c r="J244" s="162">
        <v>0</v>
      </c>
      <c r="K244" s="162">
        <v>11762967.75</v>
      </c>
      <c r="L244" s="162">
        <v>3085312.24</v>
      </c>
      <c r="M244" s="162">
        <v>4510491.25</v>
      </c>
      <c r="N244" s="162">
        <v>4510491.25</v>
      </c>
    </row>
    <row r="245" spans="1:14" s="161" customFormat="1" x14ac:dyDescent="0.25">
      <c r="A245" s="161" t="s">
        <v>557</v>
      </c>
      <c r="B245" s="161" t="s">
        <v>341</v>
      </c>
      <c r="C245" s="161" t="s">
        <v>342</v>
      </c>
      <c r="D245" s="161" t="s">
        <v>553</v>
      </c>
      <c r="E245" s="162">
        <v>4750000</v>
      </c>
      <c r="F245" s="162">
        <v>4750000</v>
      </c>
      <c r="G245" s="162">
        <v>4750000</v>
      </c>
      <c r="H245" s="162">
        <v>0</v>
      </c>
      <c r="I245" s="162">
        <v>0</v>
      </c>
      <c r="J245" s="162">
        <v>0</v>
      </c>
      <c r="K245" s="162">
        <v>3648037.86</v>
      </c>
      <c r="L245" s="162">
        <v>3270506.61</v>
      </c>
      <c r="M245" s="162">
        <v>1101962.1399999999</v>
      </c>
      <c r="N245" s="162">
        <v>1101962.1399999999</v>
      </c>
    </row>
    <row r="246" spans="1:14" s="161" customFormat="1" x14ac:dyDescent="0.25">
      <c r="A246" s="161" t="s">
        <v>557</v>
      </c>
      <c r="B246" s="161" t="s">
        <v>185</v>
      </c>
      <c r="C246" s="161" t="s">
        <v>186</v>
      </c>
      <c r="D246" s="161" t="s">
        <v>553</v>
      </c>
      <c r="E246" s="162">
        <v>28300000</v>
      </c>
      <c r="F246" s="162">
        <v>15300000</v>
      </c>
      <c r="G246" s="162">
        <v>15300000</v>
      </c>
      <c r="H246" s="162">
        <v>0</v>
      </c>
      <c r="I246" s="162">
        <v>5442056</v>
      </c>
      <c r="J246" s="162">
        <v>0</v>
      </c>
      <c r="K246" s="162">
        <v>9737209</v>
      </c>
      <c r="L246" s="162">
        <v>4920999</v>
      </c>
      <c r="M246" s="162">
        <v>120735</v>
      </c>
      <c r="N246" s="162">
        <v>120735</v>
      </c>
    </row>
    <row r="247" spans="1:14" s="161" customFormat="1" x14ac:dyDescent="0.25">
      <c r="A247" s="161" t="s">
        <v>557</v>
      </c>
      <c r="B247" s="161" t="s">
        <v>187</v>
      </c>
      <c r="C247" s="161" t="s">
        <v>188</v>
      </c>
      <c r="D247" s="161" t="s">
        <v>553</v>
      </c>
      <c r="E247" s="162">
        <v>8900000</v>
      </c>
      <c r="F247" s="162">
        <v>8900000</v>
      </c>
      <c r="G247" s="162">
        <v>8900000</v>
      </c>
      <c r="H247" s="162">
        <v>0</v>
      </c>
      <c r="I247" s="162">
        <v>0</v>
      </c>
      <c r="J247" s="162">
        <v>0</v>
      </c>
      <c r="K247" s="162">
        <v>7183785.3499999996</v>
      </c>
      <c r="L247" s="162">
        <v>3256329.65</v>
      </c>
      <c r="M247" s="162">
        <v>1716214.65</v>
      </c>
      <c r="N247" s="162">
        <v>1716214.65</v>
      </c>
    </row>
    <row r="248" spans="1:14" s="161" customFormat="1" x14ac:dyDescent="0.25">
      <c r="A248" s="161" t="s">
        <v>557</v>
      </c>
      <c r="B248" s="161" t="s">
        <v>189</v>
      </c>
      <c r="C248" s="161" t="s">
        <v>190</v>
      </c>
      <c r="D248" s="161" t="s">
        <v>553</v>
      </c>
      <c r="E248" s="162">
        <v>13062000</v>
      </c>
      <c r="F248" s="162">
        <v>9562000</v>
      </c>
      <c r="G248" s="162">
        <v>9562000</v>
      </c>
      <c r="H248" s="162">
        <v>0</v>
      </c>
      <c r="I248" s="162">
        <v>0</v>
      </c>
      <c r="J248" s="162">
        <v>0</v>
      </c>
      <c r="K248" s="162">
        <v>6320288.4000000004</v>
      </c>
      <c r="L248" s="162">
        <v>4418196.8</v>
      </c>
      <c r="M248" s="162">
        <v>3241711.6</v>
      </c>
      <c r="N248" s="162">
        <v>3241711.6</v>
      </c>
    </row>
    <row r="249" spans="1:14" s="161" customFormat="1" x14ac:dyDescent="0.25">
      <c r="A249" s="161" t="s">
        <v>557</v>
      </c>
      <c r="B249" s="161" t="s">
        <v>191</v>
      </c>
      <c r="C249" s="161" t="s">
        <v>192</v>
      </c>
      <c r="D249" s="161" t="s">
        <v>553</v>
      </c>
      <c r="E249" s="162">
        <v>35260000</v>
      </c>
      <c r="F249" s="162">
        <v>35260000</v>
      </c>
      <c r="G249" s="162">
        <v>35260000</v>
      </c>
      <c r="H249" s="162">
        <v>0</v>
      </c>
      <c r="I249" s="162">
        <v>810000</v>
      </c>
      <c r="J249" s="162">
        <v>0</v>
      </c>
      <c r="K249" s="162">
        <v>16744004.890000001</v>
      </c>
      <c r="L249" s="162">
        <v>14745104.890000001</v>
      </c>
      <c r="M249" s="162">
        <v>17705995.109999999</v>
      </c>
      <c r="N249" s="162">
        <v>17705995.109999999</v>
      </c>
    </row>
    <row r="250" spans="1:14" s="161" customFormat="1" x14ac:dyDescent="0.25">
      <c r="A250" s="161" t="s">
        <v>557</v>
      </c>
      <c r="B250" s="161" t="s">
        <v>193</v>
      </c>
      <c r="C250" s="161" t="s">
        <v>194</v>
      </c>
      <c r="D250" s="161" t="s">
        <v>553</v>
      </c>
      <c r="E250" s="162">
        <v>3100000</v>
      </c>
      <c r="F250" s="162">
        <v>4600000</v>
      </c>
      <c r="G250" s="162">
        <v>4600000</v>
      </c>
      <c r="H250" s="162">
        <v>0</v>
      </c>
      <c r="I250" s="162">
        <v>0</v>
      </c>
      <c r="J250" s="162">
        <v>0</v>
      </c>
      <c r="K250" s="162">
        <v>3410128.19</v>
      </c>
      <c r="L250" s="162">
        <v>2851381.94</v>
      </c>
      <c r="M250" s="162">
        <v>1189871.81</v>
      </c>
      <c r="N250" s="162">
        <v>1189871.81</v>
      </c>
    </row>
    <row r="251" spans="1:14" s="161" customFormat="1" x14ac:dyDescent="0.25">
      <c r="A251" s="161" t="s">
        <v>557</v>
      </c>
      <c r="B251" s="161" t="s">
        <v>195</v>
      </c>
      <c r="C251" s="161" t="s">
        <v>196</v>
      </c>
      <c r="D251" s="161" t="s">
        <v>553</v>
      </c>
      <c r="E251" s="162">
        <v>1550000</v>
      </c>
      <c r="F251" s="162">
        <v>1550000</v>
      </c>
      <c r="G251" s="162">
        <v>1550000</v>
      </c>
      <c r="H251" s="162">
        <v>0</v>
      </c>
      <c r="I251" s="162">
        <v>852363</v>
      </c>
      <c r="J251" s="162">
        <v>0</v>
      </c>
      <c r="K251" s="162">
        <v>673237</v>
      </c>
      <c r="L251" s="162">
        <v>600</v>
      </c>
      <c r="M251" s="162">
        <v>24400</v>
      </c>
      <c r="N251" s="162">
        <v>24400</v>
      </c>
    </row>
    <row r="252" spans="1:14" s="161" customFormat="1" x14ac:dyDescent="0.25">
      <c r="A252" s="161" t="s">
        <v>557</v>
      </c>
      <c r="B252" s="161" t="s">
        <v>197</v>
      </c>
      <c r="C252" s="161" t="s">
        <v>198</v>
      </c>
      <c r="D252" s="161" t="s">
        <v>553</v>
      </c>
      <c r="E252" s="162">
        <v>1550000</v>
      </c>
      <c r="F252" s="162">
        <v>1550000</v>
      </c>
      <c r="G252" s="162">
        <v>1550000</v>
      </c>
      <c r="H252" s="162">
        <v>0</v>
      </c>
      <c r="I252" s="162">
        <v>852363</v>
      </c>
      <c r="J252" s="162">
        <v>0</v>
      </c>
      <c r="K252" s="162">
        <v>673237</v>
      </c>
      <c r="L252" s="162">
        <v>600</v>
      </c>
      <c r="M252" s="162">
        <v>24400</v>
      </c>
      <c r="N252" s="162">
        <v>24400</v>
      </c>
    </row>
    <row r="253" spans="1:14" s="161" customFormat="1" x14ac:dyDescent="0.25">
      <c r="A253" s="161" t="s">
        <v>557</v>
      </c>
      <c r="B253" s="161" t="s">
        <v>199</v>
      </c>
      <c r="C253" s="161" t="s">
        <v>200</v>
      </c>
      <c r="D253" s="161" t="s">
        <v>553</v>
      </c>
      <c r="E253" s="162">
        <v>2150000</v>
      </c>
      <c r="F253" s="162">
        <v>2150000</v>
      </c>
      <c r="G253" s="162">
        <v>2150000</v>
      </c>
      <c r="H253" s="162">
        <v>0</v>
      </c>
      <c r="I253" s="162">
        <v>113207.78</v>
      </c>
      <c r="J253" s="162">
        <v>0</v>
      </c>
      <c r="K253" s="162">
        <v>186650</v>
      </c>
      <c r="L253" s="162">
        <v>186650</v>
      </c>
      <c r="M253" s="162">
        <v>1850142.22</v>
      </c>
      <c r="N253" s="162">
        <v>1850142.22</v>
      </c>
    </row>
    <row r="254" spans="1:14" s="161" customFormat="1" x14ac:dyDescent="0.25">
      <c r="A254" s="161" t="s">
        <v>557</v>
      </c>
      <c r="B254" s="161" t="s">
        <v>343</v>
      </c>
      <c r="C254" s="161" t="s">
        <v>344</v>
      </c>
      <c r="D254" s="161" t="s">
        <v>553</v>
      </c>
      <c r="E254" s="162">
        <v>150000</v>
      </c>
      <c r="F254" s="162">
        <v>150000</v>
      </c>
      <c r="G254" s="162">
        <v>150000</v>
      </c>
      <c r="H254" s="162">
        <v>0</v>
      </c>
      <c r="I254" s="162">
        <v>113207.78</v>
      </c>
      <c r="J254" s="162">
        <v>0</v>
      </c>
      <c r="K254" s="162">
        <v>36650</v>
      </c>
      <c r="L254" s="162">
        <v>36650</v>
      </c>
      <c r="M254" s="162">
        <v>142.22</v>
      </c>
      <c r="N254" s="162">
        <v>142.22</v>
      </c>
    </row>
    <row r="255" spans="1:14" s="161" customFormat="1" x14ac:dyDescent="0.25">
      <c r="A255" s="161" t="s">
        <v>557</v>
      </c>
      <c r="B255" s="161" t="s">
        <v>201</v>
      </c>
      <c r="C255" s="161" t="s">
        <v>202</v>
      </c>
      <c r="D255" s="161" t="s">
        <v>553</v>
      </c>
      <c r="E255" s="162">
        <v>2000000</v>
      </c>
      <c r="F255" s="162">
        <v>2000000</v>
      </c>
      <c r="G255" s="162">
        <v>2000000</v>
      </c>
      <c r="H255" s="162">
        <v>0</v>
      </c>
      <c r="I255" s="162">
        <v>0</v>
      </c>
      <c r="J255" s="162">
        <v>0</v>
      </c>
      <c r="K255" s="162">
        <v>150000</v>
      </c>
      <c r="L255" s="162">
        <v>150000</v>
      </c>
      <c r="M255" s="162">
        <v>1850000</v>
      </c>
      <c r="N255" s="162">
        <v>1850000</v>
      </c>
    </row>
    <row r="256" spans="1:14" s="161" customFormat="1" x14ac:dyDescent="0.25">
      <c r="A256" s="161" t="s">
        <v>557</v>
      </c>
      <c r="B256" s="161" t="s">
        <v>203</v>
      </c>
      <c r="C256" s="161" t="s">
        <v>204</v>
      </c>
      <c r="D256" s="161" t="s">
        <v>553</v>
      </c>
      <c r="E256" s="162">
        <v>100332000</v>
      </c>
      <c r="F256" s="162">
        <v>64025000</v>
      </c>
      <c r="G256" s="162">
        <v>64025000</v>
      </c>
      <c r="H256" s="162">
        <v>0</v>
      </c>
      <c r="I256" s="162">
        <v>5107035</v>
      </c>
      <c r="J256" s="162">
        <v>0</v>
      </c>
      <c r="K256" s="162">
        <v>44683006.229999997</v>
      </c>
      <c r="L256" s="162">
        <v>35576119.960000001</v>
      </c>
      <c r="M256" s="162">
        <v>14234958.77</v>
      </c>
      <c r="N256" s="162">
        <v>14234958.77</v>
      </c>
    </row>
    <row r="257" spans="1:14" s="161" customFormat="1" x14ac:dyDescent="0.25">
      <c r="A257" s="161" t="s">
        <v>557</v>
      </c>
      <c r="B257" s="161" t="s">
        <v>205</v>
      </c>
      <c r="C257" s="161" t="s">
        <v>206</v>
      </c>
      <c r="D257" s="161" t="s">
        <v>553</v>
      </c>
      <c r="E257" s="162">
        <v>55950000</v>
      </c>
      <c r="F257" s="162">
        <v>33743000</v>
      </c>
      <c r="G257" s="162">
        <v>33743000</v>
      </c>
      <c r="H257" s="162">
        <v>0</v>
      </c>
      <c r="I257" s="162">
        <v>4009920</v>
      </c>
      <c r="J257" s="162">
        <v>0</v>
      </c>
      <c r="K257" s="162">
        <v>20189581.5</v>
      </c>
      <c r="L257" s="162">
        <v>19042477.07</v>
      </c>
      <c r="M257" s="162">
        <v>9543498.5</v>
      </c>
      <c r="N257" s="162">
        <v>9543498.5</v>
      </c>
    </row>
    <row r="258" spans="1:14" s="161" customFormat="1" x14ac:dyDescent="0.25">
      <c r="A258" s="161" t="s">
        <v>557</v>
      </c>
      <c r="B258" s="161" t="s">
        <v>207</v>
      </c>
      <c r="C258" s="161" t="s">
        <v>208</v>
      </c>
      <c r="D258" s="161" t="s">
        <v>553</v>
      </c>
      <c r="E258" s="162">
        <v>30200000</v>
      </c>
      <c r="F258" s="162">
        <v>30200000</v>
      </c>
      <c r="G258" s="162">
        <v>30200000</v>
      </c>
      <c r="H258" s="162">
        <v>0</v>
      </c>
      <c r="I258" s="162">
        <v>4009920</v>
      </c>
      <c r="J258" s="162">
        <v>0</v>
      </c>
      <c r="K258" s="162">
        <v>18459213.84</v>
      </c>
      <c r="L258" s="162">
        <v>18092266.84</v>
      </c>
      <c r="M258" s="162">
        <v>7730866.1600000001</v>
      </c>
      <c r="N258" s="162">
        <v>7730866.1600000001</v>
      </c>
    </row>
    <row r="259" spans="1:14" s="161" customFormat="1" x14ac:dyDescent="0.25">
      <c r="A259" s="161" t="s">
        <v>557</v>
      </c>
      <c r="B259" s="161" t="s">
        <v>209</v>
      </c>
      <c r="C259" s="161" t="s">
        <v>210</v>
      </c>
      <c r="D259" s="161" t="s">
        <v>553</v>
      </c>
      <c r="E259" s="162">
        <v>7000</v>
      </c>
      <c r="F259" s="162">
        <v>0</v>
      </c>
      <c r="G259" s="162">
        <v>0</v>
      </c>
      <c r="H259" s="162">
        <v>0</v>
      </c>
      <c r="I259" s="162">
        <v>0</v>
      </c>
      <c r="J259" s="162">
        <v>0</v>
      </c>
      <c r="K259" s="162">
        <v>0</v>
      </c>
      <c r="L259" s="162">
        <v>0</v>
      </c>
      <c r="M259" s="162">
        <v>0</v>
      </c>
      <c r="N259" s="162">
        <v>0</v>
      </c>
    </row>
    <row r="260" spans="1:14" s="161" customFormat="1" x14ac:dyDescent="0.25">
      <c r="A260" s="161" t="s">
        <v>557</v>
      </c>
      <c r="B260" s="161" t="s">
        <v>211</v>
      </c>
      <c r="C260" s="161" t="s">
        <v>212</v>
      </c>
      <c r="D260" s="161" t="s">
        <v>553</v>
      </c>
      <c r="E260" s="162">
        <v>25615000</v>
      </c>
      <c r="F260" s="162">
        <v>3415000</v>
      </c>
      <c r="G260" s="162">
        <v>3415000</v>
      </c>
      <c r="H260" s="162">
        <v>0</v>
      </c>
      <c r="I260" s="162">
        <v>0</v>
      </c>
      <c r="J260" s="162">
        <v>0</v>
      </c>
      <c r="K260" s="162">
        <v>1730367.66</v>
      </c>
      <c r="L260" s="162">
        <v>950210.23</v>
      </c>
      <c r="M260" s="162">
        <v>1684632.34</v>
      </c>
      <c r="N260" s="162">
        <v>1684632.34</v>
      </c>
    </row>
    <row r="261" spans="1:14" s="161" customFormat="1" x14ac:dyDescent="0.25">
      <c r="A261" s="161" t="s">
        <v>557</v>
      </c>
      <c r="B261" s="161" t="s">
        <v>213</v>
      </c>
      <c r="C261" s="161" t="s">
        <v>214</v>
      </c>
      <c r="D261" s="161" t="s">
        <v>553</v>
      </c>
      <c r="E261" s="162">
        <v>128000</v>
      </c>
      <c r="F261" s="162">
        <v>128000</v>
      </c>
      <c r="G261" s="162">
        <v>128000</v>
      </c>
      <c r="H261" s="162">
        <v>0</v>
      </c>
      <c r="I261" s="162">
        <v>0</v>
      </c>
      <c r="J261" s="162">
        <v>0</v>
      </c>
      <c r="K261" s="162">
        <v>0</v>
      </c>
      <c r="L261" s="162">
        <v>0</v>
      </c>
      <c r="M261" s="162">
        <v>128000</v>
      </c>
      <c r="N261" s="162">
        <v>128000</v>
      </c>
    </row>
    <row r="262" spans="1:14" s="161" customFormat="1" x14ac:dyDescent="0.25">
      <c r="A262" s="161" t="s">
        <v>557</v>
      </c>
      <c r="B262" s="161" t="s">
        <v>219</v>
      </c>
      <c r="C262" s="161" t="s">
        <v>220</v>
      </c>
      <c r="D262" s="161" t="s">
        <v>553</v>
      </c>
      <c r="E262" s="162">
        <v>3275000</v>
      </c>
      <c r="F262" s="162">
        <v>3275000</v>
      </c>
      <c r="G262" s="162">
        <v>3275000</v>
      </c>
      <c r="H262" s="162">
        <v>0</v>
      </c>
      <c r="I262" s="162">
        <v>0</v>
      </c>
      <c r="J262" s="162">
        <v>0</v>
      </c>
      <c r="K262" s="162">
        <v>1699364</v>
      </c>
      <c r="L262" s="162">
        <v>25950</v>
      </c>
      <c r="M262" s="162">
        <v>1575636</v>
      </c>
      <c r="N262" s="162">
        <v>1575636</v>
      </c>
    </row>
    <row r="263" spans="1:14" s="161" customFormat="1" x14ac:dyDescent="0.25">
      <c r="A263" s="161" t="s">
        <v>557</v>
      </c>
      <c r="B263" s="161" t="s">
        <v>221</v>
      </c>
      <c r="C263" s="161" t="s">
        <v>222</v>
      </c>
      <c r="D263" s="161" t="s">
        <v>553</v>
      </c>
      <c r="E263" s="162">
        <v>437000</v>
      </c>
      <c r="F263" s="162">
        <v>437000</v>
      </c>
      <c r="G263" s="162">
        <v>437000</v>
      </c>
      <c r="H263" s="162">
        <v>0</v>
      </c>
      <c r="I263" s="162">
        <v>0</v>
      </c>
      <c r="J263" s="162">
        <v>0</v>
      </c>
      <c r="K263" s="162">
        <v>315315</v>
      </c>
      <c r="L263" s="162">
        <v>25950</v>
      </c>
      <c r="M263" s="162">
        <v>121685</v>
      </c>
      <c r="N263" s="162">
        <v>121685</v>
      </c>
    </row>
    <row r="264" spans="1:14" s="161" customFormat="1" x14ac:dyDescent="0.25">
      <c r="A264" s="161" t="s">
        <v>557</v>
      </c>
      <c r="B264" s="161" t="s">
        <v>345</v>
      </c>
      <c r="C264" s="161" t="s">
        <v>346</v>
      </c>
      <c r="D264" s="161" t="s">
        <v>553</v>
      </c>
      <c r="E264" s="162">
        <v>120000</v>
      </c>
      <c r="F264" s="162">
        <v>120000</v>
      </c>
      <c r="G264" s="162">
        <v>120000</v>
      </c>
      <c r="H264" s="162">
        <v>0</v>
      </c>
      <c r="I264" s="162">
        <v>0</v>
      </c>
      <c r="J264" s="162">
        <v>0</v>
      </c>
      <c r="K264" s="162">
        <v>75487</v>
      </c>
      <c r="L264" s="162">
        <v>0</v>
      </c>
      <c r="M264" s="162">
        <v>44513</v>
      </c>
      <c r="N264" s="162">
        <v>44513</v>
      </c>
    </row>
    <row r="265" spans="1:14" s="161" customFormat="1" x14ac:dyDescent="0.25">
      <c r="A265" s="161" t="s">
        <v>557</v>
      </c>
      <c r="B265" s="161" t="s">
        <v>347</v>
      </c>
      <c r="C265" s="161" t="s">
        <v>348</v>
      </c>
      <c r="D265" s="161" t="s">
        <v>553</v>
      </c>
      <c r="E265" s="162">
        <v>88000</v>
      </c>
      <c r="F265" s="162">
        <v>88000</v>
      </c>
      <c r="G265" s="162">
        <v>88000</v>
      </c>
      <c r="H265" s="162">
        <v>0</v>
      </c>
      <c r="I265" s="162">
        <v>0</v>
      </c>
      <c r="J265" s="162">
        <v>0</v>
      </c>
      <c r="K265" s="162">
        <v>0</v>
      </c>
      <c r="L265" s="162">
        <v>0</v>
      </c>
      <c r="M265" s="162">
        <v>88000</v>
      </c>
      <c r="N265" s="162">
        <v>88000</v>
      </c>
    </row>
    <row r="266" spans="1:14" s="161" customFormat="1" x14ac:dyDescent="0.25">
      <c r="A266" s="161" t="s">
        <v>557</v>
      </c>
      <c r="B266" s="161" t="s">
        <v>223</v>
      </c>
      <c r="C266" s="161" t="s">
        <v>224</v>
      </c>
      <c r="D266" s="161" t="s">
        <v>553</v>
      </c>
      <c r="E266" s="162">
        <v>1750000</v>
      </c>
      <c r="F266" s="162">
        <v>1750000</v>
      </c>
      <c r="G266" s="162">
        <v>1750000</v>
      </c>
      <c r="H266" s="162">
        <v>0</v>
      </c>
      <c r="I266" s="162">
        <v>0</v>
      </c>
      <c r="J266" s="162">
        <v>0</v>
      </c>
      <c r="K266" s="162">
        <v>1071598</v>
      </c>
      <c r="L266" s="162">
        <v>0</v>
      </c>
      <c r="M266" s="162">
        <v>678402</v>
      </c>
      <c r="N266" s="162">
        <v>678402</v>
      </c>
    </row>
    <row r="267" spans="1:14" s="161" customFormat="1" x14ac:dyDescent="0.25">
      <c r="A267" s="161" t="s">
        <v>557</v>
      </c>
      <c r="B267" s="161" t="s">
        <v>225</v>
      </c>
      <c r="C267" s="161" t="s">
        <v>226</v>
      </c>
      <c r="D267" s="161" t="s">
        <v>553</v>
      </c>
      <c r="E267" s="162">
        <v>70000</v>
      </c>
      <c r="F267" s="162">
        <v>70000</v>
      </c>
      <c r="G267" s="162">
        <v>70000</v>
      </c>
      <c r="H267" s="162">
        <v>0</v>
      </c>
      <c r="I267" s="162">
        <v>0</v>
      </c>
      <c r="J267" s="162">
        <v>0</v>
      </c>
      <c r="K267" s="162">
        <v>0</v>
      </c>
      <c r="L267" s="162">
        <v>0</v>
      </c>
      <c r="M267" s="162">
        <v>70000</v>
      </c>
      <c r="N267" s="162">
        <v>70000</v>
      </c>
    </row>
    <row r="268" spans="1:14" s="161" customFormat="1" x14ac:dyDescent="0.25">
      <c r="A268" s="161" t="s">
        <v>557</v>
      </c>
      <c r="B268" s="161" t="s">
        <v>227</v>
      </c>
      <c r="C268" s="161" t="s">
        <v>228</v>
      </c>
      <c r="D268" s="161" t="s">
        <v>553</v>
      </c>
      <c r="E268" s="162">
        <v>500000</v>
      </c>
      <c r="F268" s="162">
        <v>500000</v>
      </c>
      <c r="G268" s="162">
        <v>500000</v>
      </c>
      <c r="H268" s="162">
        <v>0</v>
      </c>
      <c r="I268" s="162">
        <v>0</v>
      </c>
      <c r="J268" s="162">
        <v>0</v>
      </c>
      <c r="K268" s="162">
        <v>236964</v>
      </c>
      <c r="L268" s="162">
        <v>0</v>
      </c>
      <c r="M268" s="162">
        <v>263036</v>
      </c>
      <c r="N268" s="162">
        <v>263036</v>
      </c>
    </row>
    <row r="269" spans="1:14" s="161" customFormat="1" x14ac:dyDescent="0.25">
      <c r="A269" s="161" t="s">
        <v>557</v>
      </c>
      <c r="B269" s="161" t="s">
        <v>229</v>
      </c>
      <c r="C269" s="161" t="s">
        <v>230</v>
      </c>
      <c r="D269" s="161" t="s">
        <v>553</v>
      </c>
      <c r="E269" s="162">
        <v>310000</v>
      </c>
      <c r="F269" s="162">
        <v>310000</v>
      </c>
      <c r="G269" s="162">
        <v>310000</v>
      </c>
      <c r="H269" s="162">
        <v>0</v>
      </c>
      <c r="I269" s="162">
        <v>0</v>
      </c>
      <c r="J269" s="162">
        <v>0</v>
      </c>
      <c r="K269" s="162">
        <v>0</v>
      </c>
      <c r="L269" s="162">
        <v>0</v>
      </c>
      <c r="M269" s="162">
        <v>310000</v>
      </c>
      <c r="N269" s="162">
        <v>310000</v>
      </c>
    </row>
    <row r="270" spans="1:14" s="161" customFormat="1" x14ac:dyDescent="0.25">
      <c r="A270" s="161" t="s">
        <v>557</v>
      </c>
      <c r="B270" s="161" t="s">
        <v>231</v>
      </c>
      <c r="C270" s="161" t="s">
        <v>232</v>
      </c>
      <c r="D270" s="161" t="s">
        <v>553</v>
      </c>
      <c r="E270" s="162">
        <v>956000</v>
      </c>
      <c r="F270" s="162">
        <v>1956000</v>
      </c>
      <c r="G270" s="162">
        <v>1956000</v>
      </c>
      <c r="H270" s="162">
        <v>0</v>
      </c>
      <c r="I270" s="162">
        <v>0</v>
      </c>
      <c r="J270" s="162">
        <v>0</v>
      </c>
      <c r="K270" s="162">
        <v>1436461.32</v>
      </c>
      <c r="L270" s="162">
        <v>787930.24</v>
      </c>
      <c r="M270" s="162">
        <v>519538.68</v>
      </c>
      <c r="N270" s="162">
        <v>519538.68</v>
      </c>
    </row>
    <row r="271" spans="1:14" s="161" customFormat="1" x14ac:dyDescent="0.25">
      <c r="A271" s="161" t="s">
        <v>557</v>
      </c>
      <c r="B271" s="161" t="s">
        <v>233</v>
      </c>
      <c r="C271" s="161" t="s">
        <v>234</v>
      </c>
      <c r="D271" s="161" t="s">
        <v>553</v>
      </c>
      <c r="E271" s="162">
        <v>171000</v>
      </c>
      <c r="F271" s="162">
        <v>171000</v>
      </c>
      <c r="G271" s="162">
        <v>171000</v>
      </c>
      <c r="H271" s="162">
        <v>0</v>
      </c>
      <c r="I271" s="162">
        <v>0</v>
      </c>
      <c r="J271" s="162">
        <v>0</v>
      </c>
      <c r="K271" s="162">
        <v>33289.75</v>
      </c>
      <c r="L271" s="162">
        <v>18284.75</v>
      </c>
      <c r="M271" s="162">
        <v>137710.25</v>
      </c>
      <c r="N271" s="162">
        <v>137710.25</v>
      </c>
    </row>
    <row r="272" spans="1:14" s="161" customFormat="1" x14ac:dyDescent="0.25">
      <c r="A272" s="161" t="s">
        <v>557</v>
      </c>
      <c r="B272" s="161" t="s">
        <v>235</v>
      </c>
      <c r="C272" s="161" t="s">
        <v>236</v>
      </c>
      <c r="D272" s="161" t="s">
        <v>553</v>
      </c>
      <c r="E272" s="162">
        <v>785000</v>
      </c>
      <c r="F272" s="162">
        <v>1785000</v>
      </c>
      <c r="G272" s="162">
        <v>1785000</v>
      </c>
      <c r="H272" s="162">
        <v>0</v>
      </c>
      <c r="I272" s="162">
        <v>0</v>
      </c>
      <c r="J272" s="162">
        <v>0</v>
      </c>
      <c r="K272" s="162">
        <v>1403171.57</v>
      </c>
      <c r="L272" s="162">
        <v>769645.49</v>
      </c>
      <c r="M272" s="162">
        <v>381828.43</v>
      </c>
      <c r="N272" s="162">
        <v>381828.43</v>
      </c>
    </row>
    <row r="273" spans="1:14" s="161" customFormat="1" x14ac:dyDescent="0.25">
      <c r="A273" s="161" t="s">
        <v>557</v>
      </c>
      <c r="B273" s="161" t="s">
        <v>237</v>
      </c>
      <c r="C273" s="161" t="s">
        <v>238</v>
      </c>
      <c r="D273" s="161" t="s">
        <v>553</v>
      </c>
      <c r="E273" s="162">
        <v>40151000</v>
      </c>
      <c r="F273" s="162">
        <v>25051000</v>
      </c>
      <c r="G273" s="162">
        <v>25051000</v>
      </c>
      <c r="H273" s="162">
        <v>0</v>
      </c>
      <c r="I273" s="162">
        <v>1097115</v>
      </c>
      <c r="J273" s="162">
        <v>0</v>
      </c>
      <c r="K273" s="162">
        <v>21357599.41</v>
      </c>
      <c r="L273" s="162">
        <v>15719762.65</v>
      </c>
      <c r="M273" s="162">
        <v>2596285.59</v>
      </c>
      <c r="N273" s="162">
        <v>2596285.59</v>
      </c>
    </row>
    <row r="274" spans="1:14" s="161" customFormat="1" x14ac:dyDescent="0.25">
      <c r="A274" s="161" t="s">
        <v>557</v>
      </c>
      <c r="B274" s="161" t="s">
        <v>239</v>
      </c>
      <c r="C274" s="161" t="s">
        <v>240</v>
      </c>
      <c r="D274" s="161" t="s">
        <v>553</v>
      </c>
      <c r="E274" s="162">
        <v>8270000</v>
      </c>
      <c r="F274" s="162">
        <v>4770000</v>
      </c>
      <c r="G274" s="162">
        <v>4770000</v>
      </c>
      <c r="H274" s="162">
        <v>0</v>
      </c>
      <c r="I274" s="162">
        <v>119000</v>
      </c>
      <c r="J274" s="162">
        <v>0</v>
      </c>
      <c r="K274" s="162">
        <v>3884720.95</v>
      </c>
      <c r="L274" s="162">
        <v>3182095.95</v>
      </c>
      <c r="M274" s="162">
        <v>766279.05</v>
      </c>
      <c r="N274" s="162">
        <v>766279.05</v>
      </c>
    </row>
    <row r="275" spans="1:14" s="161" customFormat="1" x14ac:dyDescent="0.25">
      <c r="A275" s="161" t="s">
        <v>557</v>
      </c>
      <c r="B275" s="161" t="s">
        <v>241</v>
      </c>
      <c r="C275" s="161" t="s">
        <v>242</v>
      </c>
      <c r="D275" s="161" t="s">
        <v>553</v>
      </c>
      <c r="E275" s="162">
        <v>21000</v>
      </c>
      <c r="F275" s="162">
        <v>21000</v>
      </c>
      <c r="G275" s="162">
        <v>21000</v>
      </c>
      <c r="H275" s="162">
        <v>0</v>
      </c>
      <c r="I275" s="162">
        <v>0</v>
      </c>
      <c r="J275" s="162">
        <v>0</v>
      </c>
      <c r="K275" s="162">
        <v>18856.259999999998</v>
      </c>
      <c r="L275" s="162">
        <v>0</v>
      </c>
      <c r="M275" s="162">
        <v>2143.7399999999998</v>
      </c>
      <c r="N275" s="162">
        <v>2143.7399999999998</v>
      </c>
    </row>
    <row r="276" spans="1:14" s="161" customFormat="1" x14ac:dyDescent="0.25">
      <c r="A276" s="161" t="s">
        <v>557</v>
      </c>
      <c r="B276" s="161" t="s">
        <v>243</v>
      </c>
      <c r="C276" s="161" t="s">
        <v>244</v>
      </c>
      <c r="D276" s="161" t="s">
        <v>553</v>
      </c>
      <c r="E276" s="162">
        <v>28400000</v>
      </c>
      <c r="F276" s="162">
        <v>17400000</v>
      </c>
      <c r="G276" s="162">
        <v>17400000</v>
      </c>
      <c r="H276" s="162">
        <v>0</v>
      </c>
      <c r="I276" s="162">
        <v>449375</v>
      </c>
      <c r="J276" s="162">
        <v>0</v>
      </c>
      <c r="K276" s="162">
        <v>15516463.199999999</v>
      </c>
      <c r="L276" s="162">
        <v>10600107.699999999</v>
      </c>
      <c r="M276" s="162">
        <v>1434161.8</v>
      </c>
      <c r="N276" s="162">
        <v>1434161.8</v>
      </c>
    </row>
    <row r="277" spans="1:14" s="161" customFormat="1" x14ac:dyDescent="0.25">
      <c r="A277" s="161" t="s">
        <v>557</v>
      </c>
      <c r="B277" s="161" t="s">
        <v>245</v>
      </c>
      <c r="C277" s="161" t="s">
        <v>246</v>
      </c>
      <c r="D277" s="161" t="s">
        <v>553</v>
      </c>
      <c r="E277" s="162">
        <v>1255000</v>
      </c>
      <c r="F277" s="162">
        <v>1255000</v>
      </c>
      <c r="G277" s="162">
        <v>1255000</v>
      </c>
      <c r="H277" s="162">
        <v>0</v>
      </c>
      <c r="I277" s="162">
        <v>0</v>
      </c>
      <c r="J277" s="162">
        <v>0</v>
      </c>
      <c r="K277" s="162">
        <v>1094570</v>
      </c>
      <c r="L277" s="162">
        <v>1094570</v>
      </c>
      <c r="M277" s="162">
        <v>160430</v>
      </c>
      <c r="N277" s="162">
        <v>160430</v>
      </c>
    </row>
    <row r="278" spans="1:14" s="161" customFormat="1" x14ac:dyDescent="0.25">
      <c r="A278" s="161" t="s">
        <v>557</v>
      </c>
      <c r="B278" s="161" t="s">
        <v>247</v>
      </c>
      <c r="C278" s="161" t="s">
        <v>248</v>
      </c>
      <c r="D278" s="161" t="s">
        <v>553</v>
      </c>
      <c r="E278" s="162">
        <v>1360000</v>
      </c>
      <c r="F278" s="162">
        <v>860000</v>
      </c>
      <c r="G278" s="162">
        <v>860000</v>
      </c>
      <c r="H278" s="162">
        <v>0</v>
      </c>
      <c r="I278" s="162">
        <v>386600</v>
      </c>
      <c r="J278" s="162">
        <v>0</v>
      </c>
      <c r="K278" s="162">
        <v>368959</v>
      </c>
      <c r="L278" s="162">
        <v>368959</v>
      </c>
      <c r="M278" s="162">
        <v>104441</v>
      </c>
      <c r="N278" s="162">
        <v>104441</v>
      </c>
    </row>
    <row r="279" spans="1:14" s="161" customFormat="1" x14ac:dyDescent="0.25">
      <c r="A279" s="161" t="s">
        <v>557</v>
      </c>
      <c r="B279" s="161" t="s">
        <v>249</v>
      </c>
      <c r="C279" s="161" t="s">
        <v>250</v>
      </c>
      <c r="D279" s="161" t="s">
        <v>553</v>
      </c>
      <c r="E279" s="162">
        <v>105000</v>
      </c>
      <c r="F279" s="162">
        <v>105000</v>
      </c>
      <c r="G279" s="162">
        <v>105000</v>
      </c>
      <c r="H279" s="162">
        <v>0</v>
      </c>
      <c r="I279" s="162">
        <v>4800</v>
      </c>
      <c r="J279" s="162">
        <v>0</v>
      </c>
      <c r="K279" s="162">
        <v>83580</v>
      </c>
      <c r="L279" s="162">
        <v>83580</v>
      </c>
      <c r="M279" s="162">
        <v>16620</v>
      </c>
      <c r="N279" s="162">
        <v>16620</v>
      </c>
    </row>
    <row r="280" spans="1:14" s="161" customFormat="1" x14ac:dyDescent="0.25">
      <c r="A280" s="161" t="s">
        <v>557</v>
      </c>
      <c r="B280" s="161" t="s">
        <v>251</v>
      </c>
      <c r="C280" s="161" t="s">
        <v>252</v>
      </c>
      <c r="D280" s="161" t="s">
        <v>553</v>
      </c>
      <c r="E280" s="162">
        <v>100000</v>
      </c>
      <c r="F280" s="162">
        <v>0</v>
      </c>
      <c r="G280" s="162">
        <v>0</v>
      </c>
      <c r="H280" s="162">
        <v>0</v>
      </c>
      <c r="I280" s="162">
        <v>0</v>
      </c>
      <c r="J280" s="162">
        <v>0</v>
      </c>
      <c r="K280" s="162">
        <v>0</v>
      </c>
      <c r="L280" s="162">
        <v>0</v>
      </c>
      <c r="M280" s="162">
        <v>0</v>
      </c>
      <c r="N280" s="162">
        <v>0</v>
      </c>
    </row>
    <row r="281" spans="1:14" s="161" customFormat="1" x14ac:dyDescent="0.25">
      <c r="A281" s="161" t="s">
        <v>557</v>
      </c>
      <c r="B281" s="161" t="s">
        <v>253</v>
      </c>
      <c r="C281" s="161" t="s">
        <v>254</v>
      </c>
      <c r="D281" s="161" t="s">
        <v>553</v>
      </c>
      <c r="E281" s="162">
        <v>640000</v>
      </c>
      <c r="F281" s="162">
        <v>640000</v>
      </c>
      <c r="G281" s="162">
        <v>640000</v>
      </c>
      <c r="H281" s="162">
        <v>0</v>
      </c>
      <c r="I281" s="162">
        <v>137340</v>
      </c>
      <c r="J281" s="162">
        <v>0</v>
      </c>
      <c r="K281" s="162">
        <v>390450</v>
      </c>
      <c r="L281" s="162">
        <v>390450</v>
      </c>
      <c r="M281" s="162">
        <v>112210</v>
      </c>
      <c r="N281" s="162">
        <v>112210</v>
      </c>
    </row>
    <row r="282" spans="1:14" s="161" customFormat="1" x14ac:dyDescent="0.25">
      <c r="A282" s="161" t="s">
        <v>557</v>
      </c>
      <c r="B282" s="161" t="s">
        <v>255</v>
      </c>
      <c r="C282" s="161" t="s">
        <v>256</v>
      </c>
      <c r="D282" s="161" t="s">
        <v>553</v>
      </c>
      <c r="E282" s="162">
        <v>212092000</v>
      </c>
      <c r="F282" s="162">
        <v>221812236</v>
      </c>
      <c r="G282" s="162">
        <v>221812236</v>
      </c>
      <c r="H282" s="162">
        <v>0</v>
      </c>
      <c r="I282" s="162">
        <v>0</v>
      </c>
      <c r="J282" s="162">
        <v>0</v>
      </c>
      <c r="K282" s="162">
        <v>210221037.65000001</v>
      </c>
      <c r="L282" s="162">
        <v>184527718.03999999</v>
      </c>
      <c r="M282" s="162">
        <v>11591198.35</v>
      </c>
      <c r="N282" s="162">
        <v>11591198.35</v>
      </c>
    </row>
    <row r="283" spans="1:14" s="161" customFormat="1" x14ac:dyDescent="0.25">
      <c r="A283" s="161" t="s">
        <v>557</v>
      </c>
      <c r="B283" s="161" t="s">
        <v>257</v>
      </c>
      <c r="C283" s="161" t="s">
        <v>258</v>
      </c>
      <c r="D283" s="161" t="s">
        <v>553</v>
      </c>
      <c r="E283" s="162">
        <v>60592000</v>
      </c>
      <c r="F283" s="162">
        <v>59176836</v>
      </c>
      <c r="G283" s="162">
        <v>59176836</v>
      </c>
      <c r="H283" s="162">
        <v>0</v>
      </c>
      <c r="I283" s="162">
        <v>0</v>
      </c>
      <c r="J283" s="162">
        <v>0</v>
      </c>
      <c r="K283" s="162">
        <v>58135697.829999998</v>
      </c>
      <c r="L283" s="162">
        <v>58135697.829999998</v>
      </c>
      <c r="M283" s="162">
        <v>1041138.17</v>
      </c>
      <c r="N283" s="162">
        <v>1041138.17</v>
      </c>
    </row>
    <row r="284" spans="1:14" s="161" customFormat="1" x14ac:dyDescent="0.25">
      <c r="A284" s="161" t="s">
        <v>557</v>
      </c>
      <c r="B284" s="161" t="s">
        <v>353</v>
      </c>
      <c r="C284" s="161" t="s">
        <v>264</v>
      </c>
      <c r="D284" s="161" t="s">
        <v>553</v>
      </c>
      <c r="E284" s="162">
        <v>42341000</v>
      </c>
      <c r="F284" s="162">
        <v>42341000</v>
      </c>
      <c r="G284" s="162">
        <v>42341000</v>
      </c>
      <c r="H284" s="162">
        <v>0</v>
      </c>
      <c r="I284" s="162">
        <v>0</v>
      </c>
      <c r="J284" s="162">
        <v>0</v>
      </c>
      <c r="K284" s="162">
        <v>42341000</v>
      </c>
      <c r="L284" s="162">
        <v>42341000</v>
      </c>
      <c r="M284" s="162">
        <v>0</v>
      </c>
      <c r="N284" s="162">
        <v>0</v>
      </c>
    </row>
    <row r="285" spans="1:14" s="161" customFormat="1" x14ac:dyDescent="0.25">
      <c r="A285" s="161" t="s">
        <v>557</v>
      </c>
      <c r="B285" s="161" t="s">
        <v>354</v>
      </c>
      <c r="C285" s="161" t="s">
        <v>266</v>
      </c>
      <c r="D285" s="161" t="s">
        <v>553</v>
      </c>
      <c r="E285" s="162">
        <v>18251000</v>
      </c>
      <c r="F285" s="162">
        <v>16835836</v>
      </c>
      <c r="G285" s="162">
        <v>16835836</v>
      </c>
      <c r="H285" s="162">
        <v>0</v>
      </c>
      <c r="I285" s="162">
        <v>0</v>
      </c>
      <c r="J285" s="162">
        <v>0</v>
      </c>
      <c r="K285" s="162">
        <v>15794697.83</v>
      </c>
      <c r="L285" s="162">
        <v>15794697.83</v>
      </c>
      <c r="M285" s="162">
        <v>1041138.17</v>
      </c>
      <c r="N285" s="162">
        <v>1041138.17</v>
      </c>
    </row>
    <row r="286" spans="1:14" s="161" customFormat="1" x14ac:dyDescent="0.25">
      <c r="A286" s="161" t="s">
        <v>557</v>
      </c>
      <c r="B286" s="161" t="s">
        <v>267</v>
      </c>
      <c r="C286" s="161" t="s">
        <v>268</v>
      </c>
      <c r="D286" s="161" t="s">
        <v>553</v>
      </c>
      <c r="E286" s="162">
        <v>148500000</v>
      </c>
      <c r="F286" s="162">
        <v>159635400</v>
      </c>
      <c r="G286" s="162">
        <v>159635400</v>
      </c>
      <c r="H286" s="162">
        <v>0</v>
      </c>
      <c r="I286" s="162">
        <v>0</v>
      </c>
      <c r="J286" s="162">
        <v>0</v>
      </c>
      <c r="K286" s="162">
        <v>151423680</v>
      </c>
      <c r="L286" s="162">
        <v>125730360.39</v>
      </c>
      <c r="M286" s="162">
        <v>8211720</v>
      </c>
      <c r="N286" s="162">
        <v>8211720</v>
      </c>
    </row>
    <row r="287" spans="1:14" s="161" customFormat="1" x14ac:dyDescent="0.25">
      <c r="A287" s="161" t="s">
        <v>557</v>
      </c>
      <c r="B287" s="161" t="s">
        <v>269</v>
      </c>
      <c r="C287" s="161" t="s">
        <v>270</v>
      </c>
      <c r="D287" s="161" t="s">
        <v>553</v>
      </c>
      <c r="E287" s="162">
        <v>118500000</v>
      </c>
      <c r="F287" s="162">
        <v>129635400</v>
      </c>
      <c r="G287" s="162">
        <v>129635400</v>
      </c>
      <c r="H287" s="162">
        <v>0</v>
      </c>
      <c r="I287" s="162">
        <v>0</v>
      </c>
      <c r="J287" s="162">
        <v>0</v>
      </c>
      <c r="K287" s="162">
        <v>129635400</v>
      </c>
      <c r="L287" s="162">
        <v>103942080.39</v>
      </c>
      <c r="M287" s="162">
        <v>0</v>
      </c>
      <c r="N287" s="162">
        <v>0</v>
      </c>
    </row>
    <row r="288" spans="1:14" s="161" customFormat="1" x14ac:dyDescent="0.25">
      <c r="A288" s="161" t="s">
        <v>557</v>
      </c>
      <c r="B288" s="161" t="s">
        <v>271</v>
      </c>
      <c r="C288" s="161" t="s">
        <v>272</v>
      </c>
      <c r="D288" s="161" t="s">
        <v>553</v>
      </c>
      <c r="E288" s="162">
        <v>30000000</v>
      </c>
      <c r="F288" s="162">
        <v>30000000</v>
      </c>
      <c r="G288" s="162">
        <v>30000000</v>
      </c>
      <c r="H288" s="162">
        <v>0</v>
      </c>
      <c r="I288" s="162">
        <v>0</v>
      </c>
      <c r="J288" s="162">
        <v>0</v>
      </c>
      <c r="K288" s="162">
        <v>21788280</v>
      </c>
      <c r="L288" s="162">
        <v>21788280</v>
      </c>
      <c r="M288" s="162">
        <v>8211720</v>
      </c>
      <c r="N288" s="162">
        <v>8211720</v>
      </c>
    </row>
    <row r="289" spans="1:14" s="161" customFormat="1" x14ac:dyDescent="0.25">
      <c r="A289" s="161" t="s">
        <v>557</v>
      </c>
      <c r="B289" s="161" t="s">
        <v>273</v>
      </c>
      <c r="C289" s="161" t="s">
        <v>274</v>
      </c>
      <c r="D289" s="161" t="s">
        <v>553</v>
      </c>
      <c r="E289" s="162">
        <v>3000000</v>
      </c>
      <c r="F289" s="162">
        <v>3000000</v>
      </c>
      <c r="G289" s="162">
        <v>3000000</v>
      </c>
      <c r="H289" s="162">
        <v>0</v>
      </c>
      <c r="I289" s="162">
        <v>0</v>
      </c>
      <c r="J289" s="162">
        <v>0</v>
      </c>
      <c r="K289" s="162">
        <v>661659.81999999995</v>
      </c>
      <c r="L289" s="162">
        <v>661659.81999999995</v>
      </c>
      <c r="M289" s="162">
        <v>2338340.1800000002</v>
      </c>
      <c r="N289" s="162">
        <v>2338340.1800000002</v>
      </c>
    </row>
    <row r="290" spans="1:14" s="161" customFormat="1" x14ac:dyDescent="0.25">
      <c r="A290" s="161" t="s">
        <v>557</v>
      </c>
      <c r="B290" s="161" t="s">
        <v>275</v>
      </c>
      <c r="C290" s="161" t="s">
        <v>276</v>
      </c>
      <c r="D290" s="161" t="s">
        <v>553</v>
      </c>
      <c r="E290" s="162">
        <v>3000000</v>
      </c>
      <c r="F290" s="162">
        <v>3000000</v>
      </c>
      <c r="G290" s="162">
        <v>3000000</v>
      </c>
      <c r="H290" s="162">
        <v>0</v>
      </c>
      <c r="I290" s="162">
        <v>0</v>
      </c>
      <c r="J290" s="162">
        <v>0</v>
      </c>
      <c r="K290" s="162">
        <v>661659.81999999995</v>
      </c>
      <c r="L290" s="162">
        <v>661659.81999999995</v>
      </c>
      <c r="M290" s="162">
        <v>2338340.1800000002</v>
      </c>
      <c r="N290" s="162">
        <v>2338340.1800000002</v>
      </c>
    </row>
    <row r="291" spans="1:14" s="161" customFormat="1" x14ac:dyDescent="0.25">
      <c r="A291" s="161" t="s">
        <v>557</v>
      </c>
      <c r="B291" s="161" t="s">
        <v>589</v>
      </c>
      <c r="C291" s="161" t="s">
        <v>590</v>
      </c>
      <c r="D291" s="161" t="s">
        <v>553</v>
      </c>
      <c r="E291" s="162">
        <v>0</v>
      </c>
      <c r="F291" s="162">
        <v>0</v>
      </c>
      <c r="G291" s="162">
        <v>0</v>
      </c>
      <c r="H291" s="162">
        <v>0</v>
      </c>
      <c r="I291" s="162">
        <v>0</v>
      </c>
      <c r="J291" s="162">
        <v>0</v>
      </c>
      <c r="K291" s="162">
        <v>0</v>
      </c>
      <c r="L291" s="162">
        <v>0</v>
      </c>
      <c r="M291" s="162">
        <v>0</v>
      </c>
      <c r="N291" s="162">
        <v>0</v>
      </c>
    </row>
    <row r="292" spans="1:14" s="161" customFormat="1" x14ac:dyDescent="0.25">
      <c r="A292" s="161" t="s">
        <v>557</v>
      </c>
      <c r="B292" s="161" t="s">
        <v>587</v>
      </c>
      <c r="C292" s="161" t="s">
        <v>588</v>
      </c>
      <c r="D292" s="161" t="s">
        <v>553</v>
      </c>
      <c r="E292" s="162">
        <v>0</v>
      </c>
      <c r="F292" s="162">
        <v>0</v>
      </c>
      <c r="G292" s="162">
        <v>0</v>
      </c>
      <c r="H292" s="162">
        <v>0</v>
      </c>
      <c r="I292" s="162">
        <v>0</v>
      </c>
      <c r="J292" s="162">
        <v>0</v>
      </c>
      <c r="K292" s="162">
        <v>0</v>
      </c>
      <c r="L292" s="162">
        <v>0</v>
      </c>
      <c r="M292" s="162">
        <v>0</v>
      </c>
      <c r="N292" s="162">
        <v>0</v>
      </c>
    </row>
    <row r="293" spans="1:14" s="161" customFormat="1" x14ac:dyDescent="0.25">
      <c r="A293" s="161" t="s">
        <v>557</v>
      </c>
      <c r="B293" s="161" t="s">
        <v>585</v>
      </c>
      <c r="C293" s="161" t="s">
        <v>586</v>
      </c>
      <c r="D293" s="161" t="s">
        <v>553</v>
      </c>
      <c r="E293" s="162">
        <v>0</v>
      </c>
      <c r="F293" s="162">
        <v>0</v>
      </c>
      <c r="G293" s="162">
        <v>0</v>
      </c>
      <c r="H293" s="162">
        <v>0</v>
      </c>
      <c r="I293" s="162">
        <v>0</v>
      </c>
      <c r="J293" s="162">
        <v>0</v>
      </c>
      <c r="K293" s="162">
        <v>0</v>
      </c>
      <c r="L293" s="162">
        <v>0</v>
      </c>
      <c r="M293" s="162">
        <v>0</v>
      </c>
      <c r="N293" s="162">
        <v>0</v>
      </c>
    </row>
    <row r="294" spans="1:14" s="161" customFormat="1" x14ac:dyDescent="0.25">
      <c r="A294" s="161" t="s">
        <v>557</v>
      </c>
      <c r="B294" s="161" t="s">
        <v>585</v>
      </c>
      <c r="C294" s="161" t="s">
        <v>586</v>
      </c>
      <c r="D294" s="161" t="s">
        <v>555</v>
      </c>
      <c r="E294" s="162">
        <v>0</v>
      </c>
      <c r="F294" s="162">
        <v>0</v>
      </c>
      <c r="G294" s="162">
        <v>0</v>
      </c>
      <c r="H294" s="162">
        <v>0</v>
      </c>
      <c r="I294" s="162">
        <v>0</v>
      </c>
      <c r="J294" s="162">
        <v>0</v>
      </c>
      <c r="K294" s="162">
        <v>0</v>
      </c>
      <c r="L294" s="162">
        <v>0</v>
      </c>
      <c r="M294" s="162">
        <v>0</v>
      </c>
      <c r="N294" s="162">
        <v>0</v>
      </c>
    </row>
    <row r="295" spans="1:14" s="161" customFormat="1" x14ac:dyDescent="0.25">
      <c r="A295" s="161" t="s">
        <v>557</v>
      </c>
      <c r="B295" s="161" t="s">
        <v>285</v>
      </c>
      <c r="C295" s="161" t="s">
        <v>286</v>
      </c>
      <c r="D295" s="161" t="s">
        <v>555</v>
      </c>
      <c r="E295" s="162">
        <v>441435000</v>
      </c>
      <c r="F295" s="162">
        <v>426435000</v>
      </c>
      <c r="G295" s="162">
        <v>426435000</v>
      </c>
      <c r="H295" s="162">
        <v>0</v>
      </c>
      <c r="I295" s="162">
        <v>16006564.1</v>
      </c>
      <c r="J295" s="162">
        <v>0</v>
      </c>
      <c r="K295" s="162">
        <v>320634474.94999999</v>
      </c>
      <c r="L295" s="162">
        <v>225404530.03</v>
      </c>
      <c r="M295" s="162">
        <v>89793960.950000003</v>
      </c>
      <c r="N295" s="162">
        <v>89793960.950000003</v>
      </c>
    </row>
    <row r="296" spans="1:14" s="161" customFormat="1" x14ac:dyDescent="0.25">
      <c r="A296" s="161" t="s">
        <v>557</v>
      </c>
      <c r="B296" s="161" t="s">
        <v>287</v>
      </c>
      <c r="C296" s="161" t="s">
        <v>288</v>
      </c>
      <c r="D296" s="161" t="s">
        <v>555</v>
      </c>
      <c r="E296" s="162">
        <v>209185000</v>
      </c>
      <c r="F296" s="162">
        <v>209185000</v>
      </c>
      <c r="G296" s="162">
        <v>209185000</v>
      </c>
      <c r="H296" s="162">
        <v>0</v>
      </c>
      <c r="I296" s="162">
        <v>14655581.91</v>
      </c>
      <c r="J296" s="162">
        <v>0</v>
      </c>
      <c r="K296" s="162">
        <v>183374709.53</v>
      </c>
      <c r="L296" s="162">
        <v>145299331.81</v>
      </c>
      <c r="M296" s="162">
        <v>11154708.560000001</v>
      </c>
      <c r="N296" s="162">
        <v>11154708.560000001</v>
      </c>
    </row>
    <row r="297" spans="1:14" s="161" customFormat="1" x14ac:dyDescent="0.25">
      <c r="A297" s="161" t="s">
        <v>557</v>
      </c>
      <c r="B297" s="161" t="s">
        <v>289</v>
      </c>
      <c r="C297" s="161" t="s">
        <v>290</v>
      </c>
      <c r="D297" s="161" t="s">
        <v>555</v>
      </c>
      <c r="E297" s="162">
        <v>75000</v>
      </c>
      <c r="F297" s="162">
        <v>75000</v>
      </c>
      <c r="G297" s="162">
        <v>75000</v>
      </c>
      <c r="H297" s="162">
        <v>0</v>
      </c>
      <c r="I297" s="162">
        <v>0</v>
      </c>
      <c r="J297" s="162">
        <v>0</v>
      </c>
      <c r="K297" s="162">
        <v>0</v>
      </c>
      <c r="L297" s="162">
        <v>0</v>
      </c>
      <c r="M297" s="162">
        <v>75000</v>
      </c>
      <c r="N297" s="162">
        <v>75000</v>
      </c>
    </row>
    <row r="298" spans="1:14" s="161" customFormat="1" x14ac:dyDescent="0.25">
      <c r="A298" s="161" t="s">
        <v>557</v>
      </c>
      <c r="B298" s="161" t="s">
        <v>410</v>
      </c>
      <c r="C298" s="161" t="s">
        <v>513</v>
      </c>
      <c r="D298" s="161" t="s">
        <v>555</v>
      </c>
      <c r="E298" s="162">
        <v>29000000</v>
      </c>
      <c r="F298" s="162">
        <v>29000000</v>
      </c>
      <c r="G298" s="162">
        <v>29000000</v>
      </c>
      <c r="H298" s="162">
        <v>0</v>
      </c>
      <c r="I298" s="162">
        <v>14655581.91</v>
      </c>
      <c r="J298" s="162">
        <v>0</v>
      </c>
      <c r="K298" s="162">
        <v>14235296.560000001</v>
      </c>
      <c r="L298" s="162">
        <v>0</v>
      </c>
      <c r="M298" s="162">
        <v>109121.53</v>
      </c>
      <c r="N298" s="162">
        <v>109121.53</v>
      </c>
    </row>
    <row r="299" spans="1:14" s="161" customFormat="1" x14ac:dyDescent="0.25">
      <c r="A299" s="161" t="s">
        <v>557</v>
      </c>
      <c r="B299" s="161" t="s">
        <v>291</v>
      </c>
      <c r="C299" s="161" t="s">
        <v>292</v>
      </c>
      <c r="D299" s="161" t="s">
        <v>555</v>
      </c>
      <c r="E299" s="162">
        <v>9900000</v>
      </c>
      <c r="F299" s="162">
        <v>9900000</v>
      </c>
      <c r="G299" s="162">
        <v>9900000</v>
      </c>
      <c r="H299" s="162">
        <v>0</v>
      </c>
      <c r="I299" s="162">
        <v>0</v>
      </c>
      <c r="J299" s="162">
        <v>0</v>
      </c>
      <c r="K299" s="162">
        <v>8696071.6099999994</v>
      </c>
      <c r="L299" s="162">
        <v>8197071.6100000003</v>
      </c>
      <c r="M299" s="162">
        <v>1203928.3899999999</v>
      </c>
      <c r="N299" s="162">
        <v>1203928.3899999999</v>
      </c>
    </row>
    <row r="300" spans="1:14" s="161" customFormat="1" x14ac:dyDescent="0.25">
      <c r="A300" s="161" t="s">
        <v>557</v>
      </c>
      <c r="B300" s="161" t="s">
        <v>293</v>
      </c>
      <c r="C300" s="161" t="s">
        <v>294</v>
      </c>
      <c r="D300" s="161" t="s">
        <v>555</v>
      </c>
      <c r="E300" s="162">
        <v>22140000</v>
      </c>
      <c r="F300" s="162">
        <v>22140000</v>
      </c>
      <c r="G300" s="162">
        <v>22140000</v>
      </c>
      <c r="H300" s="162">
        <v>0</v>
      </c>
      <c r="I300" s="162">
        <v>0</v>
      </c>
      <c r="J300" s="162">
        <v>0</v>
      </c>
      <c r="K300" s="162">
        <v>20212691.68</v>
      </c>
      <c r="L300" s="162">
        <v>10160460.880000001</v>
      </c>
      <c r="M300" s="162">
        <v>1927308.32</v>
      </c>
      <c r="N300" s="162">
        <v>1927308.32</v>
      </c>
    </row>
    <row r="301" spans="1:14" s="161" customFormat="1" x14ac:dyDescent="0.25">
      <c r="A301" s="161" t="s">
        <v>557</v>
      </c>
      <c r="B301" s="161" t="s">
        <v>295</v>
      </c>
      <c r="C301" s="161" t="s">
        <v>296</v>
      </c>
      <c r="D301" s="161" t="s">
        <v>555</v>
      </c>
      <c r="E301" s="162">
        <v>142070000</v>
      </c>
      <c r="F301" s="162">
        <v>142070000</v>
      </c>
      <c r="G301" s="162">
        <v>142070000</v>
      </c>
      <c r="H301" s="162">
        <v>0</v>
      </c>
      <c r="I301" s="162">
        <v>0</v>
      </c>
      <c r="J301" s="162">
        <v>0</v>
      </c>
      <c r="K301" s="162">
        <v>134778067.52000001</v>
      </c>
      <c r="L301" s="162">
        <v>121580417.16</v>
      </c>
      <c r="M301" s="162">
        <v>7291932.4800000004</v>
      </c>
      <c r="N301" s="162">
        <v>7291932.4800000004</v>
      </c>
    </row>
    <row r="302" spans="1:14" s="161" customFormat="1" x14ac:dyDescent="0.25">
      <c r="A302" s="161" t="s">
        <v>557</v>
      </c>
      <c r="B302" s="161" t="s">
        <v>297</v>
      </c>
      <c r="C302" s="161" t="s">
        <v>298</v>
      </c>
      <c r="D302" s="161" t="s">
        <v>555</v>
      </c>
      <c r="E302" s="162">
        <v>400000</v>
      </c>
      <c r="F302" s="162">
        <v>400000</v>
      </c>
      <c r="G302" s="162">
        <v>400000</v>
      </c>
      <c r="H302" s="162">
        <v>0</v>
      </c>
      <c r="I302" s="162">
        <v>0</v>
      </c>
      <c r="J302" s="162">
        <v>0</v>
      </c>
      <c r="K302" s="162">
        <v>369400</v>
      </c>
      <c r="L302" s="162">
        <v>278200</v>
      </c>
      <c r="M302" s="162">
        <v>30600</v>
      </c>
      <c r="N302" s="162">
        <v>30600</v>
      </c>
    </row>
    <row r="303" spans="1:14" s="161" customFormat="1" x14ac:dyDescent="0.25">
      <c r="A303" s="161" t="s">
        <v>557</v>
      </c>
      <c r="B303" s="161" t="s">
        <v>301</v>
      </c>
      <c r="C303" s="161" t="s">
        <v>302</v>
      </c>
      <c r="D303" s="161" t="s">
        <v>555</v>
      </c>
      <c r="E303" s="162">
        <v>5600000</v>
      </c>
      <c r="F303" s="162">
        <v>5600000</v>
      </c>
      <c r="G303" s="162">
        <v>5600000</v>
      </c>
      <c r="H303" s="162">
        <v>0</v>
      </c>
      <c r="I303" s="162">
        <v>0</v>
      </c>
      <c r="J303" s="162">
        <v>0</v>
      </c>
      <c r="K303" s="162">
        <v>5083182.16</v>
      </c>
      <c r="L303" s="162">
        <v>5083182.16</v>
      </c>
      <c r="M303" s="162">
        <v>516817.84</v>
      </c>
      <c r="N303" s="162">
        <v>516817.84</v>
      </c>
    </row>
    <row r="304" spans="1:14" s="161" customFormat="1" x14ac:dyDescent="0.25">
      <c r="A304" s="161" t="s">
        <v>557</v>
      </c>
      <c r="B304" s="161" t="s">
        <v>303</v>
      </c>
      <c r="C304" s="161" t="s">
        <v>304</v>
      </c>
      <c r="D304" s="161" t="s">
        <v>555</v>
      </c>
      <c r="E304" s="162">
        <v>180000000</v>
      </c>
      <c r="F304" s="162">
        <v>165000000</v>
      </c>
      <c r="G304" s="162">
        <v>165000000</v>
      </c>
      <c r="H304" s="162">
        <v>0</v>
      </c>
      <c r="I304" s="162">
        <v>1350982.19</v>
      </c>
      <c r="J304" s="162">
        <v>0</v>
      </c>
      <c r="K304" s="162">
        <v>88797396.719999999</v>
      </c>
      <c r="L304" s="162">
        <v>46031368.630000003</v>
      </c>
      <c r="M304" s="162">
        <v>74851621.090000004</v>
      </c>
      <c r="N304" s="162">
        <v>74851621.090000004</v>
      </c>
    </row>
    <row r="305" spans="1:14" s="161" customFormat="1" x14ac:dyDescent="0.25">
      <c r="A305" s="161" t="s">
        <v>557</v>
      </c>
      <c r="B305" s="161" t="s">
        <v>305</v>
      </c>
      <c r="C305" s="161" t="s">
        <v>306</v>
      </c>
      <c r="D305" s="161" t="s">
        <v>555</v>
      </c>
      <c r="E305" s="162">
        <v>180000000</v>
      </c>
      <c r="F305" s="162">
        <v>165000000</v>
      </c>
      <c r="G305" s="162">
        <v>165000000</v>
      </c>
      <c r="H305" s="162">
        <v>0</v>
      </c>
      <c r="I305" s="162">
        <v>1350982.19</v>
      </c>
      <c r="J305" s="162">
        <v>0</v>
      </c>
      <c r="K305" s="162">
        <v>88797396.719999999</v>
      </c>
      <c r="L305" s="162">
        <v>46031368.630000003</v>
      </c>
      <c r="M305" s="162">
        <v>74851621.090000004</v>
      </c>
      <c r="N305" s="162">
        <v>74851621.090000004</v>
      </c>
    </row>
    <row r="306" spans="1:14" s="161" customFormat="1" x14ac:dyDescent="0.25">
      <c r="A306" s="161" t="s">
        <v>557</v>
      </c>
      <c r="B306" s="161" t="s">
        <v>349</v>
      </c>
      <c r="C306" s="161" t="s">
        <v>350</v>
      </c>
      <c r="D306" s="161" t="s">
        <v>555</v>
      </c>
      <c r="E306" s="162">
        <v>52250000</v>
      </c>
      <c r="F306" s="162">
        <v>52250000</v>
      </c>
      <c r="G306" s="162">
        <v>52250000</v>
      </c>
      <c r="H306" s="162">
        <v>0</v>
      </c>
      <c r="I306" s="162">
        <v>0</v>
      </c>
      <c r="J306" s="162">
        <v>0</v>
      </c>
      <c r="K306" s="162">
        <v>48462368.700000003</v>
      </c>
      <c r="L306" s="162">
        <v>34073829.590000004</v>
      </c>
      <c r="M306" s="162">
        <v>3787631.3</v>
      </c>
      <c r="N306" s="162">
        <v>3787631.3</v>
      </c>
    </row>
    <row r="307" spans="1:14" s="161" customFormat="1" x14ac:dyDescent="0.25">
      <c r="A307" s="161" t="s">
        <v>557</v>
      </c>
      <c r="B307" s="161" t="s">
        <v>351</v>
      </c>
      <c r="C307" s="161" t="s">
        <v>352</v>
      </c>
      <c r="D307" s="161" t="s">
        <v>555</v>
      </c>
      <c r="E307" s="162">
        <v>52250000</v>
      </c>
      <c r="F307" s="162">
        <v>52250000</v>
      </c>
      <c r="G307" s="162">
        <v>52250000</v>
      </c>
      <c r="H307" s="162">
        <v>0</v>
      </c>
      <c r="I307" s="162">
        <v>0</v>
      </c>
      <c r="J307" s="162">
        <v>0</v>
      </c>
      <c r="K307" s="162">
        <v>48462368.700000003</v>
      </c>
      <c r="L307" s="162">
        <v>34073829.590000004</v>
      </c>
      <c r="M307" s="162">
        <v>3787631.3</v>
      </c>
      <c r="N307" s="162">
        <v>3787631.3</v>
      </c>
    </row>
    <row r="308" spans="1:14" s="161" customFormat="1" x14ac:dyDescent="0.25">
      <c r="A308" s="161">
        <v>214783</v>
      </c>
      <c r="B308" s="161" t="s">
        <v>602</v>
      </c>
      <c r="C308" s="161" t="s">
        <v>602</v>
      </c>
      <c r="D308" s="161" t="s">
        <v>553</v>
      </c>
      <c r="E308" s="162">
        <v>108467611690</v>
      </c>
      <c r="F308" s="162">
        <v>106772514109</v>
      </c>
      <c r="G308" s="162">
        <v>106772514109</v>
      </c>
      <c r="H308" s="162">
        <v>0</v>
      </c>
      <c r="I308" s="162">
        <v>3803484545</v>
      </c>
      <c r="J308" s="162">
        <v>0</v>
      </c>
      <c r="K308" s="162">
        <v>98043556410.990005</v>
      </c>
      <c r="L308" s="162">
        <v>93688983915.089996</v>
      </c>
      <c r="M308" s="162">
        <v>4925473153.0100002</v>
      </c>
      <c r="N308" s="162">
        <v>4925473153.0100002</v>
      </c>
    </row>
    <row r="309" spans="1:14" s="161" customFormat="1" x14ac:dyDescent="0.25">
      <c r="A309" s="161" t="s">
        <v>558</v>
      </c>
      <c r="B309" s="161" t="s">
        <v>92</v>
      </c>
      <c r="C309" s="161" t="s">
        <v>93</v>
      </c>
      <c r="D309" s="161" t="s">
        <v>553</v>
      </c>
      <c r="E309" s="162">
        <v>69280985000</v>
      </c>
      <c r="F309" s="162">
        <v>66194787471</v>
      </c>
      <c r="G309" s="162">
        <v>66194787471</v>
      </c>
      <c r="H309" s="162">
        <v>0</v>
      </c>
      <c r="I309" s="162">
        <v>0</v>
      </c>
      <c r="J309" s="162">
        <v>0</v>
      </c>
      <c r="K309" s="162">
        <v>63387066495.970001</v>
      </c>
      <c r="L309" s="162">
        <v>63387066495.970001</v>
      </c>
      <c r="M309" s="162">
        <v>2807720975.0300002</v>
      </c>
      <c r="N309" s="162">
        <v>2807720975.0300002</v>
      </c>
    </row>
    <row r="310" spans="1:14" s="161" customFormat="1" x14ac:dyDescent="0.25">
      <c r="A310" s="161" t="s">
        <v>558</v>
      </c>
      <c r="B310" s="161" t="s">
        <v>94</v>
      </c>
      <c r="C310" s="161" t="s">
        <v>95</v>
      </c>
      <c r="D310" s="161" t="s">
        <v>553</v>
      </c>
      <c r="E310" s="162">
        <v>24948626000</v>
      </c>
      <c r="F310" s="162">
        <v>24179508538</v>
      </c>
      <c r="G310" s="162">
        <v>24179508538</v>
      </c>
      <c r="H310" s="162">
        <v>0</v>
      </c>
      <c r="I310" s="162">
        <v>0</v>
      </c>
      <c r="J310" s="162">
        <v>0</v>
      </c>
      <c r="K310" s="162">
        <v>22804921617.889999</v>
      </c>
      <c r="L310" s="162">
        <v>22804921617.889999</v>
      </c>
      <c r="M310" s="162">
        <v>1374586920.1099999</v>
      </c>
      <c r="N310" s="162">
        <v>1374586920.1099999</v>
      </c>
    </row>
    <row r="311" spans="1:14" s="161" customFormat="1" x14ac:dyDescent="0.25">
      <c r="A311" s="161" t="s">
        <v>558</v>
      </c>
      <c r="B311" s="161" t="s">
        <v>96</v>
      </c>
      <c r="C311" s="161" t="s">
        <v>97</v>
      </c>
      <c r="D311" s="161" t="s">
        <v>553</v>
      </c>
      <c r="E311" s="162">
        <v>24786984000</v>
      </c>
      <c r="F311" s="162">
        <v>23966347328</v>
      </c>
      <c r="G311" s="162">
        <v>23966347328</v>
      </c>
      <c r="H311" s="162">
        <v>0</v>
      </c>
      <c r="I311" s="162">
        <v>0</v>
      </c>
      <c r="J311" s="162">
        <v>0</v>
      </c>
      <c r="K311" s="162">
        <v>22638359622.889999</v>
      </c>
      <c r="L311" s="162">
        <v>22638359622.889999</v>
      </c>
      <c r="M311" s="162">
        <v>1327987705.1099999</v>
      </c>
      <c r="N311" s="162">
        <v>1327987705.1099999</v>
      </c>
    </row>
    <row r="312" spans="1:14" s="161" customFormat="1" x14ac:dyDescent="0.25">
      <c r="A312" s="161" t="s">
        <v>558</v>
      </c>
      <c r="B312" s="161" t="s">
        <v>355</v>
      </c>
      <c r="C312" s="161" t="s">
        <v>356</v>
      </c>
      <c r="D312" s="161" t="s">
        <v>553</v>
      </c>
      <c r="E312" s="162">
        <v>161642000</v>
      </c>
      <c r="F312" s="162">
        <v>213161210</v>
      </c>
      <c r="G312" s="162">
        <v>213161210</v>
      </c>
      <c r="H312" s="162">
        <v>0</v>
      </c>
      <c r="I312" s="162">
        <v>0</v>
      </c>
      <c r="J312" s="162">
        <v>0</v>
      </c>
      <c r="K312" s="162">
        <v>166561995</v>
      </c>
      <c r="L312" s="162">
        <v>166561995</v>
      </c>
      <c r="M312" s="162">
        <v>46599215</v>
      </c>
      <c r="N312" s="162">
        <v>46599215</v>
      </c>
    </row>
    <row r="313" spans="1:14" s="161" customFormat="1" x14ac:dyDescent="0.25">
      <c r="A313" s="161" t="s">
        <v>558</v>
      </c>
      <c r="B313" s="161" t="s">
        <v>98</v>
      </c>
      <c r="C313" s="161" t="s">
        <v>99</v>
      </c>
      <c r="D313" s="161" t="s">
        <v>553</v>
      </c>
      <c r="E313" s="162">
        <v>3816434000</v>
      </c>
      <c r="F313" s="162">
        <v>3634302747</v>
      </c>
      <c r="G313" s="162">
        <v>3634302747</v>
      </c>
      <c r="H313" s="162">
        <v>0</v>
      </c>
      <c r="I313" s="162">
        <v>0</v>
      </c>
      <c r="J313" s="162">
        <v>0</v>
      </c>
      <c r="K313" s="162">
        <v>3557718703.1300001</v>
      </c>
      <c r="L313" s="162">
        <v>3557718703.1300001</v>
      </c>
      <c r="M313" s="162">
        <v>76584043.870000005</v>
      </c>
      <c r="N313" s="162">
        <v>76584043.870000005</v>
      </c>
    </row>
    <row r="314" spans="1:14" s="161" customFormat="1" x14ac:dyDescent="0.25">
      <c r="A314" s="161" t="s">
        <v>558</v>
      </c>
      <c r="B314" s="161" t="s">
        <v>100</v>
      </c>
      <c r="C314" s="161" t="s">
        <v>101</v>
      </c>
      <c r="D314" s="161" t="s">
        <v>553</v>
      </c>
      <c r="E314" s="162">
        <v>10000000</v>
      </c>
      <c r="F314" s="162">
        <v>7868747</v>
      </c>
      <c r="G314" s="162">
        <v>7868747</v>
      </c>
      <c r="H314" s="162">
        <v>0</v>
      </c>
      <c r="I314" s="162">
        <v>0</v>
      </c>
      <c r="J314" s="162">
        <v>0</v>
      </c>
      <c r="K314" s="162">
        <v>7868623</v>
      </c>
      <c r="L314" s="162">
        <v>7868623</v>
      </c>
      <c r="M314" s="162">
        <v>124</v>
      </c>
      <c r="N314" s="162">
        <v>124</v>
      </c>
    </row>
    <row r="315" spans="1:14" s="161" customFormat="1" x14ac:dyDescent="0.25">
      <c r="A315" s="161" t="s">
        <v>558</v>
      </c>
      <c r="B315" s="161" t="s">
        <v>357</v>
      </c>
      <c r="C315" s="161" t="s">
        <v>358</v>
      </c>
      <c r="D315" s="161" t="s">
        <v>553</v>
      </c>
      <c r="E315" s="162">
        <v>25000000</v>
      </c>
      <c r="F315" s="162">
        <v>15000000</v>
      </c>
      <c r="G315" s="162">
        <v>15000000</v>
      </c>
      <c r="H315" s="162">
        <v>0</v>
      </c>
      <c r="I315" s="162">
        <v>0</v>
      </c>
      <c r="J315" s="162">
        <v>0</v>
      </c>
      <c r="K315" s="162">
        <v>12613806.5</v>
      </c>
      <c r="L315" s="162">
        <v>12613806.5</v>
      </c>
      <c r="M315" s="162">
        <v>2386193.5</v>
      </c>
      <c r="N315" s="162">
        <v>2386193.5</v>
      </c>
    </row>
    <row r="316" spans="1:14" s="161" customFormat="1" x14ac:dyDescent="0.25">
      <c r="A316" s="161" t="s">
        <v>558</v>
      </c>
      <c r="B316" s="161" t="s">
        <v>359</v>
      </c>
      <c r="C316" s="161" t="s">
        <v>360</v>
      </c>
      <c r="D316" s="161" t="s">
        <v>553</v>
      </c>
      <c r="E316" s="162">
        <v>3781434000</v>
      </c>
      <c r="F316" s="162">
        <v>3611434000</v>
      </c>
      <c r="G316" s="162">
        <v>3611434000</v>
      </c>
      <c r="H316" s="162">
        <v>0</v>
      </c>
      <c r="I316" s="162">
        <v>0</v>
      </c>
      <c r="J316" s="162">
        <v>0</v>
      </c>
      <c r="K316" s="162">
        <v>3537236273.6300001</v>
      </c>
      <c r="L316" s="162">
        <v>3537236273.6300001</v>
      </c>
      <c r="M316" s="162">
        <v>74197726.370000005</v>
      </c>
      <c r="N316" s="162">
        <v>74197726.370000005</v>
      </c>
    </row>
    <row r="317" spans="1:14" s="161" customFormat="1" x14ac:dyDescent="0.25">
      <c r="A317" s="161" t="s">
        <v>558</v>
      </c>
      <c r="B317" s="161" t="s">
        <v>102</v>
      </c>
      <c r="C317" s="161" t="s">
        <v>103</v>
      </c>
      <c r="D317" s="161" t="s">
        <v>553</v>
      </c>
      <c r="E317" s="162">
        <v>30011202000</v>
      </c>
      <c r="F317" s="162">
        <v>28308861097</v>
      </c>
      <c r="G317" s="162">
        <v>28308861097</v>
      </c>
      <c r="H317" s="162">
        <v>0</v>
      </c>
      <c r="I317" s="162">
        <v>0</v>
      </c>
      <c r="J317" s="162">
        <v>0</v>
      </c>
      <c r="K317" s="162">
        <v>27459326944.950001</v>
      </c>
      <c r="L317" s="162">
        <v>27459326944.950001</v>
      </c>
      <c r="M317" s="162">
        <v>849534152.04999995</v>
      </c>
      <c r="N317" s="162">
        <v>849534152.04999995</v>
      </c>
    </row>
    <row r="318" spans="1:14" s="161" customFormat="1" x14ac:dyDescent="0.25">
      <c r="A318" s="161" t="s">
        <v>558</v>
      </c>
      <c r="B318" s="161" t="s">
        <v>104</v>
      </c>
      <c r="C318" s="161" t="s">
        <v>105</v>
      </c>
      <c r="D318" s="161" t="s">
        <v>553</v>
      </c>
      <c r="E318" s="162">
        <v>9975766000</v>
      </c>
      <c r="F318" s="162">
        <v>9366425097</v>
      </c>
      <c r="G318" s="162">
        <v>9366425097</v>
      </c>
      <c r="H318" s="162">
        <v>0</v>
      </c>
      <c r="I318" s="162">
        <v>0</v>
      </c>
      <c r="J318" s="162">
        <v>0</v>
      </c>
      <c r="K318" s="162">
        <v>9030866061.3400002</v>
      </c>
      <c r="L318" s="162">
        <v>9030866061.3400002</v>
      </c>
      <c r="M318" s="162">
        <v>335559035.66000003</v>
      </c>
      <c r="N318" s="162">
        <v>335559035.66000003</v>
      </c>
    </row>
    <row r="319" spans="1:14" s="161" customFormat="1" x14ac:dyDescent="0.25">
      <c r="A319" s="161" t="s">
        <v>558</v>
      </c>
      <c r="B319" s="161" t="s">
        <v>106</v>
      </c>
      <c r="C319" s="161" t="s">
        <v>107</v>
      </c>
      <c r="D319" s="161" t="s">
        <v>553</v>
      </c>
      <c r="E319" s="162">
        <v>3798397000</v>
      </c>
      <c r="F319" s="162">
        <v>3316397000</v>
      </c>
      <c r="G319" s="162">
        <v>3316397000</v>
      </c>
      <c r="H319" s="162">
        <v>0</v>
      </c>
      <c r="I319" s="162">
        <v>0</v>
      </c>
      <c r="J319" s="162">
        <v>0</v>
      </c>
      <c r="K319" s="162">
        <v>3189306021.4899998</v>
      </c>
      <c r="L319" s="162">
        <v>3189306021.4899998</v>
      </c>
      <c r="M319" s="162">
        <v>127090978.51000001</v>
      </c>
      <c r="N319" s="162">
        <v>127090978.51000001</v>
      </c>
    </row>
    <row r="320" spans="1:14" s="161" customFormat="1" x14ac:dyDescent="0.25">
      <c r="A320" s="161" t="s">
        <v>558</v>
      </c>
      <c r="B320" s="161" t="s">
        <v>108</v>
      </c>
      <c r="C320" s="161" t="s">
        <v>109</v>
      </c>
      <c r="D320" s="161" t="s">
        <v>553</v>
      </c>
      <c r="E320" s="162">
        <v>3597134000</v>
      </c>
      <c r="F320" s="162">
        <v>3637134000</v>
      </c>
      <c r="G320" s="162">
        <v>3637134000</v>
      </c>
      <c r="H320" s="162">
        <v>0</v>
      </c>
      <c r="I320" s="162">
        <v>0</v>
      </c>
      <c r="J320" s="162">
        <v>0</v>
      </c>
      <c r="K320" s="162">
        <v>3633952854.2199998</v>
      </c>
      <c r="L320" s="162">
        <v>3633952854.2199998</v>
      </c>
      <c r="M320" s="162">
        <v>3181145.78</v>
      </c>
      <c r="N320" s="162">
        <v>3181145.78</v>
      </c>
    </row>
    <row r="321" spans="1:14" s="161" customFormat="1" x14ac:dyDescent="0.25">
      <c r="A321" s="161" t="s">
        <v>558</v>
      </c>
      <c r="B321" s="161" t="s">
        <v>110</v>
      </c>
      <c r="C321" s="161" t="s">
        <v>111</v>
      </c>
      <c r="D321" s="161" t="s">
        <v>553</v>
      </c>
      <c r="E321" s="162">
        <v>8205917000</v>
      </c>
      <c r="F321" s="162">
        <v>7762917000</v>
      </c>
      <c r="G321" s="162">
        <v>7762917000</v>
      </c>
      <c r="H321" s="162">
        <v>0</v>
      </c>
      <c r="I321" s="162">
        <v>0</v>
      </c>
      <c r="J321" s="162">
        <v>0</v>
      </c>
      <c r="K321" s="162">
        <v>7453151390.7299995</v>
      </c>
      <c r="L321" s="162">
        <v>7453151390.7299995</v>
      </c>
      <c r="M321" s="162">
        <v>309765609.26999998</v>
      </c>
      <c r="N321" s="162">
        <v>309765609.26999998</v>
      </c>
    </row>
    <row r="322" spans="1:14" s="161" customFormat="1" x14ac:dyDescent="0.25">
      <c r="A322" s="161" t="s">
        <v>558</v>
      </c>
      <c r="B322" s="161" t="s">
        <v>112</v>
      </c>
      <c r="C322" s="161" t="s">
        <v>113</v>
      </c>
      <c r="D322" s="161" t="s">
        <v>555</v>
      </c>
      <c r="E322" s="162">
        <v>4433988000</v>
      </c>
      <c r="F322" s="162">
        <v>4225988000</v>
      </c>
      <c r="G322" s="162">
        <v>4225988000</v>
      </c>
      <c r="H322" s="162">
        <v>0</v>
      </c>
      <c r="I322" s="162">
        <v>0</v>
      </c>
      <c r="J322" s="162">
        <v>0</v>
      </c>
      <c r="K322" s="162">
        <v>4152050617.1700001</v>
      </c>
      <c r="L322" s="162">
        <v>4152050617.1700001</v>
      </c>
      <c r="M322" s="162">
        <v>73937382.829999998</v>
      </c>
      <c r="N322" s="162">
        <v>73937382.829999998</v>
      </c>
    </row>
    <row r="323" spans="1:14" s="161" customFormat="1" x14ac:dyDescent="0.25">
      <c r="A323" s="161" t="s">
        <v>558</v>
      </c>
      <c r="B323" s="161" t="s">
        <v>114</v>
      </c>
      <c r="C323" s="161" t="s">
        <v>115</v>
      </c>
      <c r="D323" s="161" t="s">
        <v>553</v>
      </c>
      <c r="E323" s="162">
        <v>5298403000</v>
      </c>
      <c r="F323" s="162">
        <v>5081180800</v>
      </c>
      <c r="G323" s="162">
        <v>5081180800</v>
      </c>
      <c r="H323" s="162">
        <v>0</v>
      </c>
      <c r="I323" s="162">
        <v>0</v>
      </c>
      <c r="J323" s="162">
        <v>0</v>
      </c>
      <c r="K323" s="162">
        <v>4827245159</v>
      </c>
      <c r="L323" s="162">
        <v>4827245159</v>
      </c>
      <c r="M323" s="162">
        <v>253935641</v>
      </c>
      <c r="N323" s="162">
        <v>253935641</v>
      </c>
    </row>
    <row r="324" spans="1:14" s="161" customFormat="1" x14ac:dyDescent="0.25">
      <c r="A324" s="161" t="s">
        <v>558</v>
      </c>
      <c r="B324" s="161" t="s">
        <v>361</v>
      </c>
      <c r="C324" s="161" t="s">
        <v>578</v>
      </c>
      <c r="D324" s="161" t="s">
        <v>553</v>
      </c>
      <c r="E324" s="162">
        <v>5026689000</v>
      </c>
      <c r="F324" s="162">
        <v>4820585887</v>
      </c>
      <c r="G324" s="162">
        <v>4820585887</v>
      </c>
      <c r="H324" s="162">
        <v>0</v>
      </c>
      <c r="I324" s="162">
        <v>0</v>
      </c>
      <c r="J324" s="162">
        <v>0</v>
      </c>
      <c r="K324" s="162">
        <v>4579731453</v>
      </c>
      <c r="L324" s="162">
        <v>4579731453</v>
      </c>
      <c r="M324" s="162">
        <v>240854434</v>
      </c>
      <c r="N324" s="162">
        <v>240854434</v>
      </c>
    </row>
    <row r="325" spans="1:14" s="161" customFormat="1" x14ac:dyDescent="0.25">
      <c r="A325" s="161" t="s">
        <v>558</v>
      </c>
      <c r="B325" s="161" t="s">
        <v>362</v>
      </c>
      <c r="C325" s="161" t="s">
        <v>596</v>
      </c>
      <c r="D325" s="161" t="s">
        <v>553</v>
      </c>
      <c r="E325" s="162">
        <v>271714000</v>
      </c>
      <c r="F325" s="162">
        <v>260594913</v>
      </c>
      <c r="G325" s="162">
        <v>260594913</v>
      </c>
      <c r="H325" s="162">
        <v>0</v>
      </c>
      <c r="I325" s="162">
        <v>0</v>
      </c>
      <c r="J325" s="162">
        <v>0</v>
      </c>
      <c r="K325" s="162">
        <v>247513706</v>
      </c>
      <c r="L325" s="162">
        <v>247513706</v>
      </c>
      <c r="M325" s="162">
        <v>13081207</v>
      </c>
      <c r="N325" s="162">
        <v>13081207</v>
      </c>
    </row>
    <row r="326" spans="1:14" s="161" customFormat="1" x14ac:dyDescent="0.25">
      <c r="A326" s="161" t="s">
        <v>558</v>
      </c>
      <c r="B326" s="161" t="s">
        <v>118</v>
      </c>
      <c r="C326" s="161" t="s">
        <v>119</v>
      </c>
      <c r="D326" s="161" t="s">
        <v>553</v>
      </c>
      <c r="E326" s="162">
        <v>5206020000</v>
      </c>
      <c r="F326" s="162">
        <v>4990934289</v>
      </c>
      <c r="G326" s="162">
        <v>4990934289</v>
      </c>
      <c r="H326" s="162">
        <v>0</v>
      </c>
      <c r="I326" s="162">
        <v>0</v>
      </c>
      <c r="J326" s="162">
        <v>0</v>
      </c>
      <c r="K326" s="162">
        <v>4737854071</v>
      </c>
      <c r="L326" s="162">
        <v>4737854071</v>
      </c>
      <c r="M326" s="162">
        <v>253080218</v>
      </c>
      <c r="N326" s="162">
        <v>253080218</v>
      </c>
    </row>
    <row r="327" spans="1:14" s="161" customFormat="1" x14ac:dyDescent="0.25">
      <c r="A327" s="161" t="s">
        <v>558</v>
      </c>
      <c r="B327" s="161" t="s">
        <v>363</v>
      </c>
      <c r="C327" s="161" t="s">
        <v>121</v>
      </c>
      <c r="D327" s="161" t="s">
        <v>553</v>
      </c>
      <c r="E327" s="162">
        <v>2760603000</v>
      </c>
      <c r="F327" s="162">
        <v>2646889074</v>
      </c>
      <c r="G327" s="162">
        <v>2646889074</v>
      </c>
      <c r="H327" s="162">
        <v>0</v>
      </c>
      <c r="I327" s="162">
        <v>0</v>
      </c>
      <c r="J327" s="162">
        <v>0</v>
      </c>
      <c r="K327" s="162">
        <v>2510231685</v>
      </c>
      <c r="L327" s="162">
        <v>2510231685</v>
      </c>
      <c r="M327" s="162">
        <v>136657389</v>
      </c>
      <c r="N327" s="162">
        <v>136657389</v>
      </c>
    </row>
    <row r="328" spans="1:14" s="161" customFormat="1" x14ac:dyDescent="0.25">
      <c r="A328" s="161" t="s">
        <v>558</v>
      </c>
      <c r="B328" s="161" t="s">
        <v>364</v>
      </c>
      <c r="C328" s="161" t="s">
        <v>123</v>
      </c>
      <c r="D328" s="161" t="s">
        <v>553</v>
      </c>
      <c r="E328" s="162">
        <v>815139000</v>
      </c>
      <c r="F328" s="162">
        <v>781381738</v>
      </c>
      <c r="G328" s="162">
        <v>781381738</v>
      </c>
      <c r="H328" s="162">
        <v>0</v>
      </c>
      <c r="I328" s="162">
        <v>0</v>
      </c>
      <c r="J328" s="162">
        <v>0</v>
      </c>
      <c r="K328" s="162">
        <v>742540274</v>
      </c>
      <c r="L328" s="162">
        <v>742540274</v>
      </c>
      <c r="M328" s="162">
        <v>38841464</v>
      </c>
      <c r="N328" s="162">
        <v>38841464</v>
      </c>
    </row>
    <row r="329" spans="1:14" s="161" customFormat="1" x14ac:dyDescent="0.25">
      <c r="A329" s="161" t="s">
        <v>558</v>
      </c>
      <c r="B329" s="161" t="s">
        <v>365</v>
      </c>
      <c r="C329" s="161" t="s">
        <v>125</v>
      </c>
      <c r="D329" s="161" t="s">
        <v>553</v>
      </c>
      <c r="E329" s="162">
        <v>1630278000</v>
      </c>
      <c r="F329" s="162">
        <v>1562663477</v>
      </c>
      <c r="G329" s="162">
        <v>1562663477</v>
      </c>
      <c r="H329" s="162">
        <v>0</v>
      </c>
      <c r="I329" s="162">
        <v>0</v>
      </c>
      <c r="J329" s="162">
        <v>0</v>
      </c>
      <c r="K329" s="162">
        <v>1485082112</v>
      </c>
      <c r="L329" s="162">
        <v>1485082112</v>
      </c>
      <c r="M329" s="162">
        <v>77581365</v>
      </c>
      <c r="N329" s="162">
        <v>77581365</v>
      </c>
    </row>
    <row r="330" spans="1:14" s="161" customFormat="1" x14ac:dyDescent="0.25">
      <c r="A330" s="161" t="s">
        <v>558</v>
      </c>
      <c r="B330" s="161" t="s">
        <v>366</v>
      </c>
      <c r="C330" s="161" t="s">
        <v>367</v>
      </c>
      <c r="D330" s="161" t="s">
        <v>553</v>
      </c>
      <c r="E330" s="162">
        <v>300000</v>
      </c>
      <c r="F330" s="162">
        <v>0</v>
      </c>
      <c r="G330" s="162">
        <v>0</v>
      </c>
      <c r="H330" s="162">
        <v>0</v>
      </c>
      <c r="I330" s="162">
        <v>0</v>
      </c>
      <c r="J330" s="162">
        <v>0</v>
      </c>
      <c r="K330" s="162">
        <v>0</v>
      </c>
      <c r="L330" s="162">
        <v>0</v>
      </c>
      <c r="M330" s="162">
        <v>0</v>
      </c>
      <c r="N330" s="162">
        <v>0</v>
      </c>
    </row>
    <row r="331" spans="1:14" s="161" customFormat="1" x14ac:dyDescent="0.25">
      <c r="A331" s="161" t="s">
        <v>558</v>
      </c>
      <c r="B331" s="161" t="s">
        <v>368</v>
      </c>
      <c r="C331" s="161" t="s">
        <v>369</v>
      </c>
      <c r="D331" s="161" t="s">
        <v>553</v>
      </c>
      <c r="E331" s="162">
        <v>300000</v>
      </c>
      <c r="F331" s="162">
        <v>0</v>
      </c>
      <c r="G331" s="162">
        <v>0</v>
      </c>
      <c r="H331" s="162">
        <v>0</v>
      </c>
      <c r="I331" s="162">
        <v>0</v>
      </c>
      <c r="J331" s="162">
        <v>0</v>
      </c>
      <c r="K331" s="162">
        <v>0</v>
      </c>
      <c r="L331" s="162">
        <v>0</v>
      </c>
      <c r="M331" s="162">
        <v>0</v>
      </c>
      <c r="N331" s="162">
        <v>0</v>
      </c>
    </row>
    <row r="332" spans="1:14" s="161" customFormat="1" x14ac:dyDescent="0.25">
      <c r="A332" s="161" t="s">
        <v>558</v>
      </c>
      <c r="B332" s="161" t="s">
        <v>126</v>
      </c>
      <c r="C332" s="161" t="s">
        <v>127</v>
      </c>
      <c r="D332" s="161" t="s">
        <v>553</v>
      </c>
      <c r="E332" s="162">
        <v>15290060000</v>
      </c>
      <c r="F332" s="162">
        <v>14187171121.32</v>
      </c>
      <c r="G332" s="162">
        <v>14187171121.32</v>
      </c>
      <c r="H332" s="162">
        <v>0</v>
      </c>
      <c r="I332" s="162">
        <v>1757730370.1300001</v>
      </c>
      <c r="J332" s="162">
        <v>0</v>
      </c>
      <c r="K332" s="162">
        <v>11417901790.5</v>
      </c>
      <c r="L332" s="162">
        <v>9719253239.9699993</v>
      </c>
      <c r="M332" s="162">
        <v>1011538960.6900001</v>
      </c>
      <c r="N332" s="162">
        <v>1011538960.6900001</v>
      </c>
    </row>
    <row r="333" spans="1:14" s="161" customFormat="1" x14ac:dyDescent="0.25">
      <c r="A333" s="161" t="s">
        <v>558</v>
      </c>
      <c r="B333" s="161" t="s">
        <v>128</v>
      </c>
      <c r="C333" s="161" t="s">
        <v>129</v>
      </c>
      <c r="D333" s="161" t="s">
        <v>553</v>
      </c>
      <c r="E333" s="162">
        <v>7388276000</v>
      </c>
      <c r="F333" s="162">
        <v>5941867616</v>
      </c>
      <c r="G333" s="162">
        <v>5941867616</v>
      </c>
      <c r="H333" s="162">
        <v>0</v>
      </c>
      <c r="I333" s="162">
        <v>423315318.86000001</v>
      </c>
      <c r="J333" s="162">
        <v>0</v>
      </c>
      <c r="K333" s="162">
        <v>5073188535.4200001</v>
      </c>
      <c r="L333" s="162">
        <v>3814945872.0100002</v>
      </c>
      <c r="M333" s="162">
        <v>445363761.72000003</v>
      </c>
      <c r="N333" s="162">
        <v>445363761.72000003</v>
      </c>
    </row>
    <row r="334" spans="1:14" s="161" customFormat="1" x14ac:dyDescent="0.25">
      <c r="A334" s="161" t="s">
        <v>558</v>
      </c>
      <c r="B334" s="161" t="s">
        <v>312</v>
      </c>
      <c r="C334" s="161" t="s">
        <v>313</v>
      </c>
      <c r="D334" s="161" t="s">
        <v>553</v>
      </c>
      <c r="E334" s="162">
        <v>447714000</v>
      </c>
      <c r="F334" s="162">
        <v>447714000</v>
      </c>
      <c r="G334" s="162">
        <v>447714000</v>
      </c>
      <c r="H334" s="162">
        <v>0</v>
      </c>
      <c r="I334" s="162">
        <v>6646419.6900000004</v>
      </c>
      <c r="J334" s="162">
        <v>0</v>
      </c>
      <c r="K334" s="162">
        <v>423331283.33999997</v>
      </c>
      <c r="L334" s="162">
        <v>390534515.54000002</v>
      </c>
      <c r="M334" s="162">
        <v>17736296.969999999</v>
      </c>
      <c r="N334" s="162">
        <v>17736296.969999999</v>
      </c>
    </row>
    <row r="335" spans="1:14" s="161" customFormat="1" x14ac:dyDescent="0.25">
      <c r="A335" s="161" t="s">
        <v>558</v>
      </c>
      <c r="B335" s="161" t="s">
        <v>327</v>
      </c>
      <c r="C335" s="161" t="s">
        <v>328</v>
      </c>
      <c r="D335" s="161" t="s">
        <v>553</v>
      </c>
      <c r="E335" s="162">
        <v>1150000</v>
      </c>
      <c r="F335" s="162">
        <v>1150000</v>
      </c>
      <c r="G335" s="162">
        <v>1150000</v>
      </c>
      <c r="H335" s="162">
        <v>0</v>
      </c>
      <c r="I335" s="162">
        <v>0</v>
      </c>
      <c r="J335" s="162">
        <v>0</v>
      </c>
      <c r="K335" s="162">
        <v>0</v>
      </c>
      <c r="L335" s="162">
        <v>0</v>
      </c>
      <c r="M335" s="162">
        <v>1150000</v>
      </c>
      <c r="N335" s="162">
        <v>1150000</v>
      </c>
    </row>
    <row r="336" spans="1:14" s="161" customFormat="1" x14ac:dyDescent="0.25">
      <c r="A336" s="161" t="s">
        <v>558</v>
      </c>
      <c r="B336" s="161" t="s">
        <v>130</v>
      </c>
      <c r="C336" s="161" t="s">
        <v>131</v>
      </c>
      <c r="D336" s="161" t="s">
        <v>553</v>
      </c>
      <c r="E336" s="162">
        <v>897159000</v>
      </c>
      <c r="F336" s="162">
        <v>897159000</v>
      </c>
      <c r="G336" s="162">
        <v>897159000</v>
      </c>
      <c r="H336" s="162">
        <v>0</v>
      </c>
      <c r="I336" s="162">
        <v>91179751.939999998</v>
      </c>
      <c r="J336" s="162">
        <v>0</v>
      </c>
      <c r="K336" s="162">
        <v>704810041.44000006</v>
      </c>
      <c r="L336" s="162">
        <v>583197042.64999998</v>
      </c>
      <c r="M336" s="162">
        <v>101169206.62</v>
      </c>
      <c r="N336" s="162">
        <v>101169206.62</v>
      </c>
    </row>
    <row r="337" spans="1:14" s="161" customFormat="1" x14ac:dyDescent="0.25">
      <c r="A337" s="161" t="s">
        <v>558</v>
      </c>
      <c r="B337" s="161" t="s">
        <v>329</v>
      </c>
      <c r="C337" s="161" t="s">
        <v>330</v>
      </c>
      <c r="D337" s="161" t="s">
        <v>553</v>
      </c>
      <c r="E337" s="162">
        <v>42253000</v>
      </c>
      <c r="F337" s="162">
        <v>19062488</v>
      </c>
      <c r="G337" s="162">
        <v>19062488</v>
      </c>
      <c r="H337" s="162">
        <v>0</v>
      </c>
      <c r="I337" s="162">
        <v>3666276.17</v>
      </c>
      <c r="J337" s="162">
        <v>0</v>
      </c>
      <c r="K337" s="162">
        <v>15396211.83</v>
      </c>
      <c r="L337" s="162">
        <v>12192973.99</v>
      </c>
      <c r="M337" s="162">
        <v>0</v>
      </c>
      <c r="N337" s="162">
        <v>0</v>
      </c>
    </row>
    <row r="338" spans="1:14" s="161" customFormat="1" x14ac:dyDescent="0.25">
      <c r="A338" s="161" t="s">
        <v>558</v>
      </c>
      <c r="B338" s="161" t="s">
        <v>132</v>
      </c>
      <c r="C338" s="161" t="s">
        <v>133</v>
      </c>
      <c r="D338" s="161" t="s">
        <v>553</v>
      </c>
      <c r="E338" s="162">
        <v>6000000000</v>
      </c>
      <c r="F338" s="162">
        <v>4576782128</v>
      </c>
      <c r="G338" s="162">
        <v>4576782128</v>
      </c>
      <c r="H338" s="162">
        <v>0</v>
      </c>
      <c r="I338" s="162">
        <v>321822871.06</v>
      </c>
      <c r="J338" s="162">
        <v>0</v>
      </c>
      <c r="K338" s="162">
        <v>3929650998.8099999</v>
      </c>
      <c r="L338" s="162">
        <v>2829021339.8299999</v>
      </c>
      <c r="M338" s="162">
        <v>325308258.13</v>
      </c>
      <c r="N338" s="162">
        <v>325308258.13</v>
      </c>
    </row>
    <row r="339" spans="1:14" s="161" customFormat="1" x14ac:dyDescent="0.25">
      <c r="A339" s="161" t="s">
        <v>558</v>
      </c>
      <c r="B339" s="161" t="s">
        <v>134</v>
      </c>
      <c r="C339" s="161" t="s">
        <v>135</v>
      </c>
      <c r="D339" s="161" t="s">
        <v>553</v>
      </c>
      <c r="E339" s="162">
        <v>4954374000</v>
      </c>
      <c r="F339" s="162">
        <v>5424244314</v>
      </c>
      <c r="G339" s="162">
        <v>5424244314</v>
      </c>
      <c r="H339" s="162">
        <v>0</v>
      </c>
      <c r="I339" s="162">
        <v>781398130.53999996</v>
      </c>
      <c r="J339" s="162">
        <v>0</v>
      </c>
      <c r="K339" s="162">
        <v>4521804969.4300003</v>
      </c>
      <c r="L339" s="162">
        <v>4316506631.3699999</v>
      </c>
      <c r="M339" s="162">
        <v>121041214.03</v>
      </c>
      <c r="N339" s="162">
        <v>121041214.03</v>
      </c>
    </row>
    <row r="340" spans="1:14" s="161" customFormat="1" x14ac:dyDescent="0.25">
      <c r="A340" s="161" t="s">
        <v>558</v>
      </c>
      <c r="B340" s="161" t="s">
        <v>136</v>
      </c>
      <c r="C340" s="161" t="s">
        <v>137</v>
      </c>
      <c r="D340" s="161" t="s">
        <v>553</v>
      </c>
      <c r="E340" s="162">
        <v>2372291000</v>
      </c>
      <c r="F340" s="162">
        <v>3072291000</v>
      </c>
      <c r="G340" s="162">
        <v>3072291000</v>
      </c>
      <c r="H340" s="162">
        <v>0</v>
      </c>
      <c r="I340" s="162">
        <v>472003074.39999998</v>
      </c>
      <c r="J340" s="162">
        <v>0</v>
      </c>
      <c r="K340" s="162">
        <v>2600257897.5999999</v>
      </c>
      <c r="L340" s="162">
        <v>2599063654.5999999</v>
      </c>
      <c r="M340" s="162">
        <v>30028</v>
      </c>
      <c r="N340" s="162">
        <v>30028</v>
      </c>
    </row>
    <row r="341" spans="1:14" s="161" customFormat="1" x14ac:dyDescent="0.25">
      <c r="A341" s="161" t="s">
        <v>558</v>
      </c>
      <c r="B341" s="161" t="s">
        <v>138</v>
      </c>
      <c r="C341" s="161" t="s">
        <v>139</v>
      </c>
      <c r="D341" s="161" t="s">
        <v>553</v>
      </c>
      <c r="E341" s="162">
        <v>1100946000</v>
      </c>
      <c r="F341" s="162">
        <v>1423946000</v>
      </c>
      <c r="G341" s="162">
        <v>1423946000</v>
      </c>
      <c r="H341" s="162">
        <v>0</v>
      </c>
      <c r="I341" s="162">
        <v>91167221.849999994</v>
      </c>
      <c r="J341" s="162">
        <v>0</v>
      </c>
      <c r="K341" s="162">
        <v>1332648296.1500001</v>
      </c>
      <c r="L341" s="162">
        <v>1218888435.46</v>
      </c>
      <c r="M341" s="162">
        <v>130482</v>
      </c>
      <c r="N341" s="162">
        <v>130482</v>
      </c>
    </row>
    <row r="342" spans="1:14" s="161" customFormat="1" x14ac:dyDescent="0.25">
      <c r="A342" s="161" t="s">
        <v>558</v>
      </c>
      <c r="B342" s="161" t="s">
        <v>140</v>
      </c>
      <c r="C342" s="161" t="s">
        <v>141</v>
      </c>
      <c r="D342" s="161" t="s">
        <v>553</v>
      </c>
      <c r="E342" s="162">
        <v>6000000</v>
      </c>
      <c r="F342" s="162">
        <v>6000000</v>
      </c>
      <c r="G342" s="162">
        <v>6000000</v>
      </c>
      <c r="H342" s="162">
        <v>0</v>
      </c>
      <c r="I342" s="162">
        <v>607275</v>
      </c>
      <c r="J342" s="162">
        <v>0</v>
      </c>
      <c r="K342" s="162">
        <v>2599840</v>
      </c>
      <c r="L342" s="162">
        <v>2352630</v>
      </c>
      <c r="M342" s="162">
        <v>2792885</v>
      </c>
      <c r="N342" s="162">
        <v>2792885</v>
      </c>
    </row>
    <row r="343" spans="1:14" s="161" customFormat="1" x14ac:dyDescent="0.25">
      <c r="A343" s="161" t="s">
        <v>558</v>
      </c>
      <c r="B343" s="161" t="s">
        <v>142</v>
      </c>
      <c r="C343" s="161" t="s">
        <v>143</v>
      </c>
      <c r="D343" s="161" t="s">
        <v>553</v>
      </c>
      <c r="E343" s="162">
        <v>1381495000</v>
      </c>
      <c r="F343" s="162">
        <v>765215316</v>
      </c>
      <c r="G343" s="162">
        <v>765215316</v>
      </c>
      <c r="H343" s="162">
        <v>0</v>
      </c>
      <c r="I343" s="162">
        <v>140261132.28</v>
      </c>
      <c r="J343" s="162">
        <v>0</v>
      </c>
      <c r="K343" s="162">
        <v>507895714.69</v>
      </c>
      <c r="L343" s="162">
        <v>425831715.20999998</v>
      </c>
      <c r="M343" s="162">
        <v>117058469.03</v>
      </c>
      <c r="N343" s="162">
        <v>117058469.03</v>
      </c>
    </row>
    <row r="344" spans="1:14" s="161" customFormat="1" x14ac:dyDescent="0.25">
      <c r="A344" s="161" t="s">
        <v>558</v>
      </c>
      <c r="B344" s="161" t="s">
        <v>144</v>
      </c>
      <c r="C344" s="161" t="s">
        <v>145</v>
      </c>
      <c r="D344" s="161" t="s">
        <v>553</v>
      </c>
      <c r="E344" s="162">
        <v>93642000</v>
      </c>
      <c r="F344" s="162">
        <v>156791998</v>
      </c>
      <c r="G344" s="162">
        <v>156791998</v>
      </c>
      <c r="H344" s="162">
        <v>0</v>
      </c>
      <c r="I344" s="162">
        <v>77359427.010000005</v>
      </c>
      <c r="J344" s="162">
        <v>0</v>
      </c>
      <c r="K344" s="162">
        <v>78403220.989999995</v>
      </c>
      <c r="L344" s="162">
        <v>70370196.099999994</v>
      </c>
      <c r="M344" s="162">
        <v>1029350</v>
      </c>
      <c r="N344" s="162">
        <v>1029350</v>
      </c>
    </row>
    <row r="345" spans="1:14" s="161" customFormat="1" x14ac:dyDescent="0.25">
      <c r="A345" s="161" t="s">
        <v>558</v>
      </c>
      <c r="B345" s="161" t="s">
        <v>146</v>
      </c>
      <c r="C345" s="161" t="s">
        <v>147</v>
      </c>
      <c r="D345" s="161" t="s">
        <v>553</v>
      </c>
      <c r="E345" s="162">
        <v>5449000</v>
      </c>
      <c r="F345" s="162">
        <v>8557560</v>
      </c>
      <c r="G345" s="162">
        <v>8557560</v>
      </c>
      <c r="H345" s="162">
        <v>0</v>
      </c>
      <c r="I345" s="162">
        <v>2525180</v>
      </c>
      <c r="J345" s="162">
        <v>0</v>
      </c>
      <c r="K345" s="162">
        <v>5757380</v>
      </c>
      <c r="L345" s="162">
        <v>3444700</v>
      </c>
      <c r="M345" s="162">
        <v>275000</v>
      </c>
      <c r="N345" s="162">
        <v>275000</v>
      </c>
    </row>
    <row r="346" spans="1:14" s="161" customFormat="1" x14ac:dyDescent="0.25">
      <c r="A346" s="161" t="s">
        <v>558</v>
      </c>
      <c r="B346" s="161" t="s">
        <v>148</v>
      </c>
      <c r="C346" s="161" t="s">
        <v>149</v>
      </c>
      <c r="D346" s="161" t="s">
        <v>553</v>
      </c>
      <c r="E346" s="162">
        <v>1149000</v>
      </c>
      <c r="F346" s="162">
        <v>4257560</v>
      </c>
      <c r="G346" s="162">
        <v>4257560</v>
      </c>
      <c r="H346" s="162">
        <v>0</v>
      </c>
      <c r="I346" s="162">
        <v>1482540</v>
      </c>
      <c r="J346" s="162">
        <v>0</v>
      </c>
      <c r="K346" s="162">
        <v>2775020</v>
      </c>
      <c r="L346" s="162">
        <v>462340</v>
      </c>
      <c r="M346" s="162">
        <v>0</v>
      </c>
      <c r="N346" s="162">
        <v>0</v>
      </c>
    </row>
    <row r="347" spans="1:14" s="161" customFormat="1" x14ac:dyDescent="0.25">
      <c r="A347" s="161" t="s">
        <v>558</v>
      </c>
      <c r="B347" s="161" t="s">
        <v>150</v>
      </c>
      <c r="C347" s="161" t="s">
        <v>151</v>
      </c>
      <c r="D347" s="161" t="s">
        <v>553</v>
      </c>
      <c r="E347" s="162">
        <v>4300000</v>
      </c>
      <c r="F347" s="162">
        <v>4300000</v>
      </c>
      <c r="G347" s="162">
        <v>4300000</v>
      </c>
      <c r="H347" s="162">
        <v>0</v>
      </c>
      <c r="I347" s="162">
        <v>1042640</v>
      </c>
      <c r="J347" s="162">
        <v>0</v>
      </c>
      <c r="K347" s="162">
        <v>2982360</v>
      </c>
      <c r="L347" s="162">
        <v>2982360</v>
      </c>
      <c r="M347" s="162">
        <v>275000</v>
      </c>
      <c r="N347" s="162">
        <v>275000</v>
      </c>
    </row>
    <row r="348" spans="1:14" s="161" customFormat="1" x14ac:dyDescent="0.25">
      <c r="A348" s="161" t="s">
        <v>558</v>
      </c>
      <c r="B348" s="161" t="s">
        <v>154</v>
      </c>
      <c r="C348" s="161" t="s">
        <v>155</v>
      </c>
      <c r="D348" s="161" t="s">
        <v>553</v>
      </c>
      <c r="E348" s="162">
        <v>232183000</v>
      </c>
      <c r="F348" s="162">
        <v>328109093</v>
      </c>
      <c r="G348" s="162">
        <v>328109093</v>
      </c>
      <c r="H348" s="162">
        <v>0</v>
      </c>
      <c r="I348" s="162">
        <v>43241010.710000001</v>
      </c>
      <c r="J348" s="162">
        <v>0</v>
      </c>
      <c r="K348" s="162">
        <v>217803085.81999999</v>
      </c>
      <c r="L348" s="162">
        <v>146881863.78999999</v>
      </c>
      <c r="M348" s="162">
        <v>67064996.469999999</v>
      </c>
      <c r="N348" s="162">
        <v>67064996.469999999</v>
      </c>
    </row>
    <row r="349" spans="1:14" s="161" customFormat="1" x14ac:dyDescent="0.25">
      <c r="A349" s="161" t="s">
        <v>558</v>
      </c>
      <c r="B349" s="161" t="s">
        <v>370</v>
      </c>
      <c r="C349" s="161" t="s">
        <v>371</v>
      </c>
      <c r="D349" s="161" t="s">
        <v>553</v>
      </c>
      <c r="E349" s="162">
        <v>24045000</v>
      </c>
      <c r="F349" s="162">
        <v>24045000</v>
      </c>
      <c r="G349" s="162">
        <v>24045000</v>
      </c>
      <c r="H349" s="162">
        <v>0</v>
      </c>
      <c r="I349" s="162">
        <v>190000</v>
      </c>
      <c r="J349" s="162">
        <v>0</v>
      </c>
      <c r="K349" s="162">
        <v>21771056</v>
      </c>
      <c r="L349" s="162">
        <v>1811000</v>
      </c>
      <c r="M349" s="162">
        <v>2083944</v>
      </c>
      <c r="N349" s="162">
        <v>2083944</v>
      </c>
    </row>
    <row r="350" spans="1:14" s="161" customFormat="1" x14ac:dyDescent="0.25">
      <c r="A350" s="161" t="s">
        <v>558</v>
      </c>
      <c r="B350" s="161" t="s">
        <v>337</v>
      </c>
      <c r="C350" s="161" t="s">
        <v>338</v>
      </c>
      <c r="D350" s="161" t="s">
        <v>553</v>
      </c>
      <c r="E350" s="162">
        <v>36500000</v>
      </c>
      <c r="F350" s="162">
        <v>86966885</v>
      </c>
      <c r="G350" s="162">
        <v>86966885</v>
      </c>
      <c r="H350" s="162">
        <v>0</v>
      </c>
      <c r="I350" s="162">
        <v>24917663.219999999</v>
      </c>
      <c r="J350" s="162">
        <v>0</v>
      </c>
      <c r="K350" s="162">
        <v>58096631.350000001</v>
      </c>
      <c r="L350" s="162">
        <v>34435628.340000004</v>
      </c>
      <c r="M350" s="162">
        <v>3952590.43</v>
      </c>
      <c r="N350" s="162">
        <v>3952590.43</v>
      </c>
    </row>
    <row r="351" spans="1:14" s="161" customFormat="1" x14ac:dyDescent="0.25">
      <c r="A351" s="161" t="s">
        <v>558</v>
      </c>
      <c r="B351" s="161" t="s">
        <v>157</v>
      </c>
      <c r="C351" s="161" t="s">
        <v>158</v>
      </c>
      <c r="D351" s="161" t="s">
        <v>553</v>
      </c>
      <c r="E351" s="162">
        <v>142000000</v>
      </c>
      <c r="F351" s="162">
        <v>133851875</v>
      </c>
      <c r="G351" s="162">
        <v>133851875</v>
      </c>
      <c r="H351" s="162">
        <v>0</v>
      </c>
      <c r="I351" s="162">
        <v>12755027.810000001</v>
      </c>
      <c r="J351" s="162">
        <v>0</v>
      </c>
      <c r="K351" s="162">
        <v>105114269.17</v>
      </c>
      <c r="L351" s="162">
        <v>81792487.079999998</v>
      </c>
      <c r="M351" s="162">
        <v>15982578.02</v>
      </c>
      <c r="N351" s="162">
        <v>15982578.02</v>
      </c>
    </row>
    <row r="352" spans="1:14" s="161" customFormat="1" x14ac:dyDescent="0.25">
      <c r="A352" s="161" t="s">
        <v>558</v>
      </c>
      <c r="B352" s="161" t="s">
        <v>159</v>
      </c>
      <c r="C352" s="161" t="s">
        <v>160</v>
      </c>
      <c r="D352" s="161" t="s">
        <v>553</v>
      </c>
      <c r="E352" s="162">
        <v>29638000</v>
      </c>
      <c r="F352" s="162">
        <v>83245333</v>
      </c>
      <c r="G352" s="162">
        <v>83245333</v>
      </c>
      <c r="H352" s="162">
        <v>0</v>
      </c>
      <c r="I352" s="162">
        <v>5378319.6799999997</v>
      </c>
      <c r="J352" s="162">
        <v>0</v>
      </c>
      <c r="K352" s="162">
        <v>32821129.300000001</v>
      </c>
      <c r="L352" s="162">
        <v>28842748.370000001</v>
      </c>
      <c r="M352" s="162">
        <v>45045884.020000003</v>
      </c>
      <c r="N352" s="162">
        <v>45045884.020000003</v>
      </c>
    </row>
    <row r="353" spans="1:14" s="161" customFormat="1" x14ac:dyDescent="0.25">
      <c r="A353" s="161" t="s">
        <v>558</v>
      </c>
      <c r="B353" s="161" t="s">
        <v>161</v>
      </c>
      <c r="C353" s="161" t="s">
        <v>162</v>
      </c>
      <c r="D353" s="161" t="s">
        <v>553</v>
      </c>
      <c r="E353" s="162">
        <v>158364000</v>
      </c>
      <c r="F353" s="162">
        <v>159170448.31999999</v>
      </c>
      <c r="G353" s="162">
        <v>159170448.31999999</v>
      </c>
      <c r="H353" s="162">
        <v>0</v>
      </c>
      <c r="I353" s="162">
        <v>48928240</v>
      </c>
      <c r="J353" s="162">
        <v>0</v>
      </c>
      <c r="K353" s="162">
        <v>103877715</v>
      </c>
      <c r="L353" s="162">
        <v>103825915</v>
      </c>
      <c r="M353" s="162">
        <v>6364493.3200000003</v>
      </c>
      <c r="N353" s="162">
        <v>6364493.3200000003</v>
      </c>
    </row>
    <row r="354" spans="1:14" s="161" customFormat="1" x14ac:dyDescent="0.25">
      <c r="A354" s="161" t="s">
        <v>558</v>
      </c>
      <c r="B354" s="161" t="s">
        <v>163</v>
      </c>
      <c r="C354" s="161" t="s">
        <v>164</v>
      </c>
      <c r="D354" s="161" t="s">
        <v>553</v>
      </c>
      <c r="E354" s="162">
        <v>8364000</v>
      </c>
      <c r="F354" s="162">
        <v>8364000</v>
      </c>
      <c r="G354" s="162">
        <v>8364000</v>
      </c>
      <c r="H354" s="162">
        <v>0</v>
      </c>
      <c r="I354" s="162">
        <v>2514210</v>
      </c>
      <c r="J354" s="162">
        <v>0</v>
      </c>
      <c r="K354" s="162">
        <v>5614570</v>
      </c>
      <c r="L354" s="162">
        <v>5614570</v>
      </c>
      <c r="M354" s="162">
        <v>235220</v>
      </c>
      <c r="N354" s="162">
        <v>235220</v>
      </c>
    </row>
    <row r="355" spans="1:14" s="161" customFormat="1" x14ac:dyDescent="0.25">
      <c r="A355" s="161" t="s">
        <v>558</v>
      </c>
      <c r="B355" s="161" t="s">
        <v>165</v>
      </c>
      <c r="C355" s="161" t="s">
        <v>166</v>
      </c>
      <c r="D355" s="161" t="s">
        <v>553</v>
      </c>
      <c r="E355" s="162">
        <v>150000000</v>
      </c>
      <c r="F355" s="162">
        <v>150000000</v>
      </c>
      <c r="G355" s="162">
        <v>150000000</v>
      </c>
      <c r="H355" s="162">
        <v>0</v>
      </c>
      <c r="I355" s="162">
        <v>46414030</v>
      </c>
      <c r="J355" s="162">
        <v>0</v>
      </c>
      <c r="K355" s="162">
        <v>98263145</v>
      </c>
      <c r="L355" s="162">
        <v>98211345</v>
      </c>
      <c r="M355" s="162">
        <v>5322825</v>
      </c>
      <c r="N355" s="162">
        <v>5322825</v>
      </c>
    </row>
    <row r="356" spans="1:14" s="161" customFormat="1" x14ac:dyDescent="0.25">
      <c r="A356" s="161" t="s">
        <v>558</v>
      </c>
      <c r="B356" s="161" t="s">
        <v>167</v>
      </c>
      <c r="C356" s="161" t="s">
        <v>168</v>
      </c>
      <c r="D356" s="161" t="s">
        <v>553</v>
      </c>
      <c r="E356" s="162">
        <v>0</v>
      </c>
      <c r="F356" s="162">
        <v>271810.02</v>
      </c>
      <c r="G356" s="162">
        <v>271810.02</v>
      </c>
      <c r="H356" s="162">
        <v>0</v>
      </c>
      <c r="I356" s="162">
        <v>0</v>
      </c>
      <c r="J356" s="162">
        <v>0</v>
      </c>
      <c r="K356" s="162">
        <v>0</v>
      </c>
      <c r="L356" s="162">
        <v>0</v>
      </c>
      <c r="M356" s="162">
        <v>271810.02</v>
      </c>
      <c r="N356" s="162">
        <v>271810.02</v>
      </c>
    </row>
    <row r="357" spans="1:14" s="161" customFormat="1" x14ac:dyDescent="0.25">
      <c r="A357" s="161" t="s">
        <v>558</v>
      </c>
      <c r="B357" s="161" t="s">
        <v>169</v>
      </c>
      <c r="C357" s="161" t="s">
        <v>170</v>
      </c>
      <c r="D357" s="161" t="s">
        <v>553</v>
      </c>
      <c r="E357" s="162">
        <v>0</v>
      </c>
      <c r="F357" s="162">
        <v>534638.30000000005</v>
      </c>
      <c r="G357" s="162">
        <v>534638.30000000005</v>
      </c>
      <c r="H357" s="162">
        <v>0</v>
      </c>
      <c r="I357" s="162">
        <v>0</v>
      </c>
      <c r="J357" s="162">
        <v>0</v>
      </c>
      <c r="K357" s="162">
        <v>0</v>
      </c>
      <c r="L357" s="162">
        <v>0</v>
      </c>
      <c r="M357" s="162">
        <v>534638.30000000005</v>
      </c>
      <c r="N357" s="162">
        <v>534638.30000000005</v>
      </c>
    </row>
    <row r="358" spans="1:14" s="161" customFormat="1" x14ac:dyDescent="0.25">
      <c r="A358" s="161" t="s">
        <v>558</v>
      </c>
      <c r="B358" s="161" t="s">
        <v>171</v>
      </c>
      <c r="C358" s="161" t="s">
        <v>172</v>
      </c>
      <c r="D358" s="161" t="s">
        <v>553</v>
      </c>
      <c r="E358" s="162">
        <v>1404477000</v>
      </c>
      <c r="F358" s="162">
        <v>1404477000</v>
      </c>
      <c r="G358" s="162">
        <v>1404477000</v>
      </c>
      <c r="H358" s="162">
        <v>0</v>
      </c>
      <c r="I358" s="162">
        <v>148734876</v>
      </c>
      <c r="J358" s="162">
        <v>0</v>
      </c>
      <c r="K358" s="162">
        <v>1036740286</v>
      </c>
      <c r="L358" s="162">
        <v>996217321</v>
      </c>
      <c r="M358" s="162">
        <v>219001838</v>
      </c>
      <c r="N358" s="162">
        <v>219001838</v>
      </c>
    </row>
    <row r="359" spans="1:14" s="161" customFormat="1" x14ac:dyDescent="0.25">
      <c r="A359" s="161" t="s">
        <v>558</v>
      </c>
      <c r="B359" s="161" t="s">
        <v>173</v>
      </c>
      <c r="C359" s="161" t="s">
        <v>174</v>
      </c>
      <c r="D359" s="161" t="s">
        <v>553</v>
      </c>
      <c r="E359" s="162">
        <v>1404477000</v>
      </c>
      <c r="F359" s="162">
        <v>1404477000</v>
      </c>
      <c r="G359" s="162">
        <v>1404477000</v>
      </c>
      <c r="H359" s="162">
        <v>0</v>
      </c>
      <c r="I359" s="162">
        <v>148734876</v>
      </c>
      <c r="J359" s="162">
        <v>0</v>
      </c>
      <c r="K359" s="162">
        <v>1036740286</v>
      </c>
      <c r="L359" s="162">
        <v>996217321</v>
      </c>
      <c r="M359" s="162">
        <v>219001838</v>
      </c>
      <c r="N359" s="162">
        <v>219001838</v>
      </c>
    </row>
    <row r="360" spans="1:14" s="161" customFormat="1" x14ac:dyDescent="0.25">
      <c r="A360" s="161" t="s">
        <v>558</v>
      </c>
      <c r="B360" s="161" t="s">
        <v>175</v>
      </c>
      <c r="C360" s="161" t="s">
        <v>176</v>
      </c>
      <c r="D360" s="161" t="s">
        <v>553</v>
      </c>
      <c r="E360" s="162">
        <v>1000000</v>
      </c>
      <c r="F360" s="162">
        <v>860000</v>
      </c>
      <c r="G360" s="162">
        <v>860000</v>
      </c>
      <c r="H360" s="162">
        <v>0</v>
      </c>
      <c r="I360" s="162">
        <v>0</v>
      </c>
      <c r="J360" s="162">
        <v>0</v>
      </c>
      <c r="K360" s="162">
        <v>860000</v>
      </c>
      <c r="L360" s="162">
        <v>860000</v>
      </c>
      <c r="M360" s="162">
        <v>0</v>
      </c>
      <c r="N360" s="162">
        <v>0</v>
      </c>
    </row>
    <row r="361" spans="1:14" s="161" customFormat="1" x14ac:dyDescent="0.25">
      <c r="A361" s="161" t="s">
        <v>558</v>
      </c>
      <c r="B361" s="161" t="s">
        <v>316</v>
      </c>
      <c r="C361" s="161" t="s">
        <v>317</v>
      </c>
      <c r="D361" s="161" t="s">
        <v>553</v>
      </c>
      <c r="E361" s="162">
        <v>1000000</v>
      </c>
      <c r="F361" s="162">
        <v>860000</v>
      </c>
      <c r="G361" s="162">
        <v>860000</v>
      </c>
      <c r="H361" s="162">
        <v>0</v>
      </c>
      <c r="I361" s="162">
        <v>0</v>
      </c>
      <c r="J361" s="162">
        <v>0</v>
      </c>
      <c r="K361" s="162">
        <v>860000</v>
      </c>
      <c r="L361" s="162">
        <v>860000</v>
      </c>
      <c r="M361" s="162">
        <v>0</v>
      </c>
      <c r="N361" s="162">
        <v>0</v>
      </c>
    </row>
    <row r="362" spans="1:14" s="161" customFormat="1" x14ac:dyDescent="0.25">
      <c r="A362" s="161" t="s">
        <v>558</v>
      </c>
      <c r="B362" s="161" t="s">
        <v>181</v>
      </c>
      <c r="C362" s="161" t="s">
        <v>182</v>
      </c>
      <c r="D362" s="161" t="s">
        <v>553</v>
      </c>
      <c r="E362" s="162">
        <v>1092012000</v>
      </c>
      <c r="F362" s="162">
        <v>817691575</v>
      </c>
      <c r="G362" s="162">
        <v>817691575</v>
      </c>
      <c r="H362" s="162">
        <v>0</v>
      </c>
      <c r="I362" s="162">
        <v>245106148.31</v>
      </c>
      <c r="J362" s="162">
        <v>0</v>
      </c>
      <c r="K362" s="162">
        <v>428940646.92000002</v>
      </c>
      <c r="L362" s="162">
        <v>326706003.31999999</v>
      </c>
      <c r="M362" s="162">
        <v>143644779.77000001</v>
      </c>
      <c r="N362" s="162">
        <v>143644779.77000001</v>
      </c>
    </row>
    <row r="363" spans="1:14" s="161" customFormat="1" x14ac:dyDescent="0.25">
      <c r="A363" s="161" t="s">
        <v>558</v>
      </c>
      <c r="B363" s="161" t="s">
        <v>183</v>
      </c>
      <c r="C363" s="161" t="s">
        <v>184</v>
      </c>
      <c r="D363" s="161" t="s">
        <v>553</v>
      </c>
      <c r="E363" s="162">
        <v>40000000</v>
      </c>
      <c r="F363" s="162">
        <v>108187087</v>
      </c>
      <c r="G363" s="162">
        <v>108187087</v>
      </c>
      <c r="H363" s="162">
        <v>0</v>
      </c>
      <c r="I363" s="162">
        <v>23008.85</v>
      </c>
      <c r="J363" s="162">
        <v>0</v>
      </c>
      <c r="K363" s="162">
        <v>76991.149999999994</v>
      </c>
      <c r="L363" s="162">
        <v>76991.149999999994</v>
      </c>
      <c r="M363" s="162">
        <v>108087087</v>
      </c>
      <c r="N363" s="162">
        <v>108087087</v>
      </c>
    </row>
    <row r="364" spans="1:14" s="161" customFormat="1" x14ac:dyDescent="0.25">
      <c r="A364" s="161" t="s">
        <v>558</v>
      </c>
      <c r="B364" s="161" t="s">
        <v>341</v>
      </c>
      <c r="C364" s="161" t="s">
        <v>342</v>
      </c>
      <c r="D364" s="161" t="s">
        <v>553</v>
      </c>
      <c r="E364" s="162">
        <v>550000000</v>
      </c>
      <c r="F364" s="162">
        <v>327160642</v>
      </c>
      <c r="G364" s="162">
        <v>327160642</v>
      </c>
      <c r="H364" s="162">
        <v>0</v>
      </c>
      <c r="I364" s="162">
        <v>135135532.81</v>
      </c>
      <c r="J364" s="162">
        <v>0</v>
      </c>
      <c r="K364" s="162">
        <v>191994376.80000001</v>
      </c>
      <c r="L364" s="162">
        <v>139521845.13999999</v>
      </c>
      <c r="M364" s="162">
        <v>30732.39</v>
      </c>
      <c r="N364" s="162">
        <v>30732.39</v>
      </c>
    </row>
    <row r="365" spans="1:14" s="161" customFormat="1" x14ac:dyDescent="0.25">
      <c r="A365" s="161" t="s">
        <v>558</v>
      </c>
      <c r="B365" s="161" t="s">
        <v>185</v>
      </c>
      <c r="C365" s="161" t="s">
        <v>186</v>
      </c>
      <c r="D365" s="161" t="s">
        <v>553</v>
      </c>
      <c r="E365" s="162">
        <v>165180000</v>
      </c>
      <c r="F365" s="162">
        <v>165180000</v>
      </c>
      <c r="G365" s="162">
        <v>165180000</v>
      </c>
      <c r="H365" s="162">
        <v>0</v>
      </c>
      <c r="I365" s="162">
        <v>57170253.380000003</v>
      </c>
      <c r="J365" s="162">
        <v>0</v>
      </c>
      <c r="K365" s="162">
        <v>97258989.400000006</v>
      </c>
      <c r="L365" s="162">
        <v>82912770.980000004</v>
      </c>
      <c r="M365" s="162">
        <v>10750757.220000001</v>
      </c>
      <c r="N365" s="162">
        <v>10750757.220000001</v>
      </c>
    </row>
    <row r="366" spans="1:14" s="161" customFormat="1" x14ac:dyDescent="0.25">
      <c r="A366" s="161" t="s">
        <v>558</v>
      </c>
      <c r="B366" s="161" t="s">
        <v>187</v>
      </c>
      <c r="C366" s="161" t="s">
        <v>188</v>
      </c>
      <c r="D366" s="161" t="s">
        <v>553</v>
      </c>
      <c r="E366" s="162">
        <v>6623000</v>
      </c>
      <c r="F366" s="162">
        <v>413000</v>
      </c>
      <c r="G366" s="162">
        <v>413000</v>
      </c>
      <c r="H366" s="162">
        <v>0</v>
      </c>
      <c r="I366" s="162">
        <v>0</v>
      </c>
      <c r="J366" s="162">
        <v>0</v>
      </c>
      <c r="K366" s="162">
        <v>380855</v>
      </c>
      <c r="L366" s="162">
        <v>380855</v>
      </c>
      <c r="M366" s="162">
        <v>32145</v>
      </c>
      <c r="N366" s="162">
        <v>32145</v>
      </c>
    </row>
    <row r="367" spans="1:14" s="161" customFormat="1" x14ac:dyDescent="0.25">
      <c r="A367" s="161" t="s">
        <v>558</v>
      </c>
      <c r="B367" s="161" t="s">
        <v>189</v>
      </c>
      <c r="C367" s="161" t="s">
        <v>190</v>
      </c>
      <c r="D367" s="161" t="s">
        <v>553</v>
      </c>
      <c r="E367" s="162">
        <v>24424000</v>
      </c>
      <c r="F367" s="162">
        <v>20018759</v>
      </c>
      <c r="G367" s="162">
        <v>20018759</v>
      </c>
      <c r="H367" s="162">
        <v>0</v>
      </c>
      <c r="I367" s="162">
        <v>9223000</v>
      </c>
      <c r="J367" s="162">
        <v>0</v>
      </c>
      <c r="K367" s="162">
        <v>9346092</v>
      </c>
      <c r="L367" s="162">
        <v>5659092</v>
      </c>
      <c r="M367" s="162">
        <v>1449667</v>
      </c>
      <c r="N367" s="162">
        <v>1449667</v>
      </c>
    </row>
    <row r="368" spans="1:14" s="161" customFormat="1" x14ac:dyDescent="0.25">
      <c r="A368" s="161" t="s">
        <v>558</v>
      </c>
      <c r="B368" s="161" t="s">
        <v>191</v>
      </c>
      <c r="C368" s="161" t="s">
        <v>192</v>
      </c>
      <c r="D368" s="161" t="s">
        <v>553</v>
      </c>
      <c r="E368" s="162">
        <v>80000000</v>
      </c>
      <c r="F368" s="162">
        <v>37495119</v>
      </c>
      <c r="G368" s="162">
        <v>37495119</v>
      </c>
      <c r="H368" s="162">
        <v>0</v>
      </c>
      <c r="I368" s="162">
        <v>11286474.789999999</v>
      </c>
      <c r="J368" s="162">
        <v>0</v>
      </c>
      <c r="K368" s="162">
        <v>10621057.369999999</v>
      </c>
      <c r="L368" s="162">
        <v>9616975.2599999998</v>
      </c>
      <c r="M368" s="162">
        <v>15587586.84</v>
      </c>
      <c r="N368" s="162">
        <v>15587586.84</v>
      </c>
    </row>
    <row r="369" spans="1:14" s="161" customFormat="1" x14ac:dyDescent="0.25">
      <c r="A369" s="161" t="s">
        <v>558</v>
      </c>
      <c r="B369" s="161" t="s">
        <v>193</v>
      </c>
      <c r="C369" s="161" t="s">
        <v>194</v>
      </c>
      <c r="D369" s="161" t="s">
        <v>553</v>
      </c>
      <c r="E369" s="162">
        <v>225785000</v>
      </c>
      <c r="F369" s="162">
        <v>159236968</v>
      </c>
      <c r="G369" s="162">
        <v>159236968</v>
      </c>
      <c r="H369" s="162">
        <v>0</v>
      </c>
      <c r="I369" s="162">
        <v>32267878.48</v>
      </c>
      <c r="J369" s="162">
        <v>0</v>
      </c>
      <c r="K369" s="162">
        <v>119262285.2</v>
      </c>
      <c r="L369" s="162">
        <v>88537473.790000007</v>
      </c>
      <c r="M369" s="162">
        <v>7706804.3200000003</v>
      </c>
      <c r="N369" s="162">
        <v>7706804.3200000003</v>
      </c>
    </row>
    <row r="370" spans="1:14" s="161" customFormat="1" x14ac:dyDescent="0.25">
      <c r="A370" s="161" t="s">
        <v>558</v>
      </c>
      <c r="B370" s="161" t="s">
        <v>195</v>
      </c>
      <c r="C370" s="161" t="s">
        <v>196</v>
      </c>
      <c r="D370" s="161" t="s">
        <v>553</v>
      </c>
      <c r="E370" s="162">
        <v>16000000</v>
      </c>
      <c r="F370" s="162">
        <v>16000000</v>
      </c>
      <c r="G370" s="162">
        <v>16000000</v>
      </c>
      <c r="H370" s="162">
        <v>0</v>
      </c>
      <c r="I370" s="162">
        <v>1811101</v>
      </c>
      <c r="J370" s="162">
        <v>0</v>
      </c>
      <c r="K370" s="162">
        <v>9505113</v>
      </c>
      <c r="L370" s="162">
        <v>135141</v>
      </c>
      <c r="M370" s="162">
        <v>4683786</v>
      </c>
      <c r="N370" s="162">
        <v>4683786</v>
      </c>
    </row>
    <row r="371" spans="1:14" s="161" customFormat="1" x14ac:dyDescent="0.25">
      <c r="A371" s="161" t="s">
        <v>558</v>
      </c>
      <c r="B371" s="161" t="s">
        <v>197</v>
      </c>
      <c r="C371" s="161" t="s">
        <v>198</v>
      </c>
      <c r="D371" s="161" t="s">
        <v>553</v>
      </c>
      <c r="E371" s="162">
        <v>16000000</v>
      </c>
      <c r="F371" s="162">
        <v>16000000</v>
      </c>
      <c r="G371" s="162">
        <v>16000000</v>
      </c>
      <c r="H371" s="162">
        <v>0</v>
      </c>
      <c r="I371" s="162">
        <v>1811101</v>
      </c>
      <c r="J371" s="162">
        <v>0</v>
      </c>
      <c r="K371" s="162">
        <v>9505113</v>
      </c>
      <c r="L371" s="162">
        <v>135141</v>
      </c>
      <c r="M371" s="162">
        <v>4683786</v>
      </c>
      <c r="N371" s="162">
        <v>4683786</v>
      </c>
    </row>
    <row r="372" spans="1:14" s="161" customFormat="1" x14ac:dyDescent="0.25">
      <c r="A372" s="161" t="s">
        <v>558</v>
      </c>
      <c r="B372" s="161" t="s">
        <v>199</v>
      </c>
      <c r="C372" s="161" t="s">
        <v>200</v>
      </c>
      <c r="D372" s="161" t="s">
        <v>553</v>
      </c>
      <c r="E372" s="162">
        <v>37925000</v>
      </c>
      <c r="F372" s="162">
        <v>86193515</v>
      </c>
      <c r="G372" s="162">
        <v>86193515</v>
      </c>
      <c r="H372" s="162">
        <v>0</v>
      </c>
      <c r="I372" s="162">
        <v>62670364.710000001</v>
      </c>
      <c r="J372" s="162">
        <v>0</v>
      </c>
      <c r="K372" s="162">
        <v>19424058.91</v>
      </c>
      <c r="L372" s="162">
        <v>9729792.4800000004</v>
      </c>
      <c r="M372" s="162">
        <v>4099091.38</v>
      </c>
      <c r="N372" s="162">
        <v>4099091.38</v>
      </c>
    </row>
    <row r="373" spans="1:14" s="161" customFormat="1" x14ac:dyDescent="0.25">
      <c r="A373" s="161" t="s">
        <v>558</v>
      </c>
      <c r="B373" s="161" t="s">
        <v>372</v>
      </c>
      <c r="C373" s="161" t="s">
        <v>373</v>
      </c>
      <c r="D373" s="161" t="s">
        <v>553</v>
      </c>
      <c r="E373" s="162">
        <v>4000000</v>
      </c>
      <c r="F373" s="162">
        <v>2268515</v>
      </c>
      <c r="G373" s="162">
        <v>2268515</v>
      </c>
      <c r="H373" s="162">
        <v>0</v>
      </c>
      <c r="I373" s="162">
        <v>466174</v>
      </c>
      <c r="J373" s="162">
        <v>0</v>
      </c>
      <c r="K373" s="162">
        <v>1801841.57</v>
      </c>
      <c r="L373" s="162">
        <v>624543.59</v>
      </c>
      <c r="M373" s="162">
        <v>499.43</v>
      </c>
      <c r="N373" s="162">
        <v>499.43</v>
      </c>
    </row>
    <row r="374" spans="1:14" s="161" customFormat="1" x14ac:dyDescent="0.25">
      <c r="A374" s="161" t="s">
        <v>558</v>
      </c>
      <c r="B374" s="161" t="s">
        <v>343</v>
      </c>
      <c r="C374" s="161" t="s">
        <v>344</v>
      </c>
      <c r="D374" s="161" t="s">
        <v>553</v>
      </c>
      <c r="E374" s="162">
        <v>3925000</v>
      </c>
      <c r="F374" s="162">
        <v>53925000</v>
      </c>
      <c r="G374" s="162">
        <v>53925000</v>
      </c>
      <c r="H374" s="162">
        <v>0</v>
      </c>
      <c r="I374" s="162">
        <v>47166460.710000001</v>
      </c>
      <c r="J374" s="162">
        <v>0</v>
      </c>
      <c r="K374" s="162">
        <v>6712217.3399999999</v>
      </c>
      <c r="L374" s="162">
        <v>6495248.8899999997</v>
      </c>
      <c r="M374" s="162">
        <v>46321.95</v>
      </c>
      <c r="N374" s="162">
        <v>46321.95</v>
      </c>
    </row>
    <row r="375" spans="1:14" s="161" customFormat="1" x14ac:dyDescent="0.25">
      <c r="A375" s="161" t="s">
        <v>558</v>
      </c>
      <c r="B375" s="161" t="s">
        <v>201</v>
      </c>
      <c r="C375" s="161" t="s">
        <v>202</v>
      </c>
      <c r="D375" s="161" t="s">
        <v>553</v>
      </c>
      <c r="E375" s="162">
        <v>30000000</v>
      </c>
      <c r="F375" s="162">
        <v>30000000</v>
      </c>
      <c r="G375" s="162">
        <v>30000000</v>
      </c>
      <c r="H375" s="162">
        <v>0</v>
      </c>
      <c r="I375" s="162">
        <v>15037730</v>
      </c>
      <c r="J375" s="162">
        <v>0</v>
      </c>
      <c r="K375" s="162">
        <v>10910000</v>
      </c>
      <c r="L375" s="162">
        <v>2610000</v>
      </c>
      <c r="M375" s="162">
        <v>4052270</v>
      </c>
      <c r="N375" s="162">
        <v>4052270</v>
      </c>
    </row>
    <row r="376" spans="1:14" s="161" customFormat="1" x14ac:dyDescent="0.25">
      <c r="A376" s="161" t="s">
        <v>558</v>
      </c>
      <c r="B376" s="161" t="s">
        <v>203</v>
      </c>
      <c r="C376" s="161" t="s">
        <v>204</v>
      </c>
      <c r="D376" s="161" t="s">
        <v>553</v>
      </c>
      <c r="E376" s="162">
        <v>16405848690</v>
      </c>
      <c r="F376" s="162">
        <v>15290513781.51</v>
      </c>
      <c r="G376" s="162">
        <v>15290513781.51</v>
      </c>
      <c r="H376" s="162">
        <v>0</v>
      </c>
      <c r="I376" s="162">
        <v>1195643706.96</v>
      </c>
      <c r="J376" s="162">
        <v>0</v>
      </c>
      <c r="K376" s="162">
        <v>13594442327.48</v>
      </c>
      <c r="L376" s="162">
        <v>11684495951</v>
      </c>
      <c r="M376" s="162">
        <v>500427747.06999999</v>
      </c>
      <c r="N376" s="162">
        <v>500427747.06999999</v>
      </c>
    </row>
    <row r="377" spans="1:14" s="161" customFormat="1" x14ac:dyDescent="0.25">
      <c r="A377" s="161" t="s">
        <v>558</v>
      </c>
      <c r="B377" s="161" t="s">
        <v>205</v>
      </c>
      <c r="C377" s="161" t="s">
        <v>206</v>
      </c>
      <c r="D377" s="161" t="s">
        <v>553</v>
      </c>
      <c r="E377" s="162">
        <v>917065000</v>
      </c>
      <c r="F377" s="162">
        <v>893159475</v>
      </c>
      <c r="G377" s="162">
        <v>893159475</v>
      </c>
      <c r="H377" s="162">
        <v>0</v>
      </c>
      <c r="I377" s="162">
        <v>58339744</v>
      </c>
      <c r="J377" s="162">
        <v>0</v>
      </c>
      <c r="K377" s="162">
        <v>824850672.11000001</v>
      </c>
      <c r="L377" s="162">
        <v>642699910.99000001</v>
      </c>
      <c r="M377" s="162">
        <v>9969058.8900000006</v>
      </c>
      <c r="N377" s="162">
        <v>9969058.8900000006</v>
      </c>
    </row>
    <row r="378" spans="1:14" s="161" customFormat="1" x14ac:dyDescent="0.25">
      <c r="A378" s="161" t="s">
        <v>558</v>
      </c>
      <c r="B378" s="161" t="s">
        <v>207</v>
      </c>
      <c r="C378" s="161" t="s">
        <v>208</v>
      </c>
      <c r="D378" s="161" t="s">
        <v>553</v>
      </c>
      <c r="E378" s="162">
        <v>633445000</v>
      </c>
      <c r="F378" s="162">
        <v>623445000</v>
      </c>
      <c r="G378" s="162">
        <v>623445000</v>
      </c>
      <c r="H378" s="162">
        <v>0</v>
      </c>
      <c r="I378" s="162">
        <v>57498373</v>
      </c>
      <c r="J378" s="162">
        <v>0</v>
      </c>
      <c r="K378" s="162">
        <v>564684834.11000001</v>
      </c>
      <c r="L378" s="162">
        <v>520726172.99000001</v>
      </c>
      <c r="M378" s="162">
        <v>1261792.8899999999</v>
      </c>
      <c r="N378" s="162">
        <v>1261792.8899999999</v>
      </c>
    </row>
    <row r="379" spans="1:14" s="161" customFormat="1" x14ac:dyDescent="0.25">
      <c r="A379" s="161" t="s">
        <v>558</v>
      </c>
      <c r="B379" s="161" t="s">
        <v>209</v>
      </c>
      <c r="C379" s="161" t="s">
        <v>210</v>
      </c>
      <c r="D379" s="161" t="s">
        <v>553</v>
      </c>
      <c r="E379" s="162">
        <v>216657000</v>
      </c>
      <c r="F379" s="162">
        <v>204939180</v>
      </c>
      <c r="G379" s="162">
        <v>204939180</v>
      </c>
      <c r="H379" s="162">
        <v>0</v>
      </c>
      <c r="I379" s="162">
        <v>820600</v>
      </c>
      <c r="J379" s="162">
        <v>0</v>
      </c>
      <c r="K379" s="162">
        <v>202850750</v>
      </c>
      <c r="L379" s="162">
        <v>67203150</v>
      </c>
      <c r="M379" s="162">
        <v>1267830</v>
      </c>
      <c r="N379" s="162">
        <v>1267830</v>
      </c>
    </row>
    <row r="380" spans="1:14" s="161" customFormat="1" x14ac:dyDescent="0.25">
      <c r="A380" s="161" t="s">
        <v>558</v>
      </c>
      <c r="B380" s="161" t="s">
        <v>374</v>
      </c>
      <c r="C380" s="161" t="s">
        <v>375</v>
      </c>
      <c r="D380" s="161" t="s">
        <v>553</v>
      </c>
      <c r="E380" s="162">
        <v>5824000</v>
      </c>
      <c r="F380" s="162">
        <v>5824000</v>
      </c>
      <c r="G380" s="162">
        <v>5824000</v>
      </c>
      <c r="H380" s="162">
        <v>0</v>
      </c>
      <c r="I380" s="162">
        <v>20771</v>
      </c>
      <c r="J380" s="162">
        <v>0</v>
      </c>
      <c r="K380" s="162">
        <v>279229</v>
      </c>
      <c r="L380" s="162">
        <v>279229</v>
      </c>
      <c r="M380" s="162">
        <v>5524000</v>
      </c>
      <c r="N380" s="162">
        <v>5524000</v>
      </c>
    </row>
    <row r="381" spans="1:14" s="161" customFormat="1" x14ac:dyDescent="0.25">
      <c r="A381" s="161" t="s">
        <v>558</v>
      </c>
      <c r="B381" s="161" t="s">
        <v>211</v>
      </c>
      <c r="C381" s="161" t="s">
        <v>212</v>
      </c>
      <c r="D381" s="161" t="s">
        <v>553</v>
      </c>
      <c r="E381" s="162">
        <v>53735000</v>
      </c>
      <c r="F381" s="162">
        <v>45909400</v>
      </c>
      <c r="G381" s="162">
        <v>45909400</v>
      </c>
      <c r="H381" s="162">
        <v>0</v>
      </c>
      <c r="I381" s="162">
        <v>0</v>
      </c>
      <c r="J381" s="162">
        <v>0</v>
      </c>
      <c r="K381" s="162">
        <v>45526119</v>
      </c>
      <c r="L381" s="162">
        <v>45526119</v>
      </c>
      <c r="M381" s="162">
        <v>383281</v>
      </c>
      <c r="N381" s="162">
        <v>383281</v>
      </c>
    </row>
    <row r="382" spans="1:14" s="161" customFormat="1" x14ac:dyDescent="0.25">
      <c r="A382" s="161" t="s">
        <v>558</v>
      </c>
      <c r="B382" s="161" t="s">
        <v>213</v>
      </c>
      <c r="C382" s="161" t="s">
        <v>214</v>
      </c>
      <c r="D382" s="161" t="s">
        <v>553</v>
      </c>
      <c r="E382" s="162">
        <v>7404000</v>
      </c>
      <c r="F382" s="162">
        <v>13041895</v>
      </c>
      <c r="G382" s="162">
        <v>13041895</v>
      </c>
      <c r="H382" s="162">
        <v>0</v>
      </c>
      <c r="I382" s="162">
        <v>0</v>
      </c>
      <c r="J382" s="162">
        <v>0</v>
      </c>
      <c r="K382" s="162">
        <v>11509740</v>
      </c>
      <c r="L382" s="162">
        <v>8965240</v>
      </c>
      <c r="M382" s="162">
        <v>1532155</v>
      </c>
      <c r="N382" s="162">
        <v>1532155</v>
      </c>
    </row>
    <row r="383" spans="1:14" s="161" customFormat="1" x14ac:dyDescent="0.25">
      <c r="A383" s="161" t="s">
        <v>558</v>
      </c>
      <c r="B383" s="161" t="s">
        <v>215</v>
      </c>
      <c r="C383" s="161" t="s">
        <v>216</v>
      </c>
      <c r="D383" s="161" t="s">
        <v>553</v>
      </c>
      <c r="E383" s="162">
        <v>11011103690</v>
      </c>
      <c r="F383" s="162">
        <v>10517884481.51</v>
      </c>
      <c r="G383" s="162">
        <v>10517884481.51</v>
      </c>
      <c r="H383" s="162">
        <v>0</v>
      </c>
      <c r="I383" s="162">
        <v>643622931.84000003</v>
      </c>
      <c r="J383" s="162">
        <v>0</v>
      </c>
      <c r="K383" s="162">
        <v>9833342319.7000008</v>
      </c>
      <c r="L383" s="162">
        <v>9023570120.7399998</v>
      </c>
      <c r="M383" s="162">
        <v>40919229.969999999</v>
      </c>
      <c r="N383" s="162">
        <v>40919229.969999999</v>
      </c>
    </row>
    <row r="384" spans="1:14" s="161" customFormat="1" x14ac:dyDescent="0.25">
      <c r="A384" s="161" t="s">
        <v>558</v>
      </c>
      <c r="B384" s="161" t="s">
        <v>217</v>
      </c>
      <c r="C384" s="161" t="s">
        <v>218</v>
      </c>
      <c r="D384" s="161" t="s">
        <v>553</v>
      </c>
      <c r="E384" s="162">
        <v>10999103690</v>
      </c>
      <c r="F384" s="162">
        <v>10505884481.51</v>
      </c>
      <c r="G384" s="162">
        <v>10505884481.51</v>
      </c>
      <c r="H384" s="162">
        <v>0</v>
      </c>
      <c r="I384" s="162">
        <v>643622931.84000003</v>
      </c>
      <c r="J384" s="162">
        <v>0</v>
      </c>
      <c r="K384" s="162">
        <v>9821355344.7000008</v>
      </c>
      <c r="L384" s="162">
        <v>9016650965.7399998</v>
      </c>
      <c r="M384" s="162">
        <v>40906204.969999999</v>
      </c>
      <c r="N384" s="162">
        <v>40906204.969999999</v>
      </c>
    </row>
    <row r="385" spans="1:14" s="161" customFormat="1" x14ac:dyDescent="0.25">
      <c r="A385" s="161" t="s">
        <v>558</v>
      </c>
      <c r="B385" s="161" t="s">
        <v>376</v>
      </c>
      <c r="C385" s="161" t="s">
        <v>377</v>
      </c>
      <c r="D385" s="161" t="s">
        <v>553</v>
      </c>
      <c r="E385" s="162">
        <v>12000000</v>
      </c>
      <c r="F385" s="162">
        <v>12000000</v>
      </c>
      <c r="G385" s="162">
        <v>12000000</v>
      </c>
      <c r="H385" s="162">
        <v>0</v>
      </c>
      <c r="I385" s="162">
        <v>0</v>
      </c>
      <c r="J385" s="162">
        <v>0</v>
      </c>
      <c r="K385" s="162">
        <v>11986975</v>
      </c>
      <c r="L385" s="162">
        <v>6919155</v>
      </c>
      <c r="M385" s="162">
        <v>13025</v>
      </c>
      <c r="N385" s="162">
        <v>13025</v>
      </c>
    </row>
    <row r="386" spans="1:14" s="161" customFormat="1" x14ac:dyDescent="0.25">
      <c r="A386" s="161" t="s">
        <v>558</v>
      </c>
      <c r="B386" s="161" t="s">
        <v>219</v>
      </c>
      <c r="C386" s="161" t="s">
        <v>220</v>
      </c>
      <c r="D386" s="161" t="s">
        <v>553</v>
      </c>
      <c r="E386" s="162">
        <v>1141773000</v>
      </c>
      <c r="F386" s="162">
        <v>727388654</v>
      </c>
      <c r="G386" s="162">
        <v>727388654</v>
      </c>
      <c r="H386" s="162">
        <v>0</v>
      </c>
      <c r="I386" s="162">
        <v>49176245.18</v>
      </c>
      <c r="J386" s="162">
        <v>0</v>
      </c>
      <c r="K386" s="162">
        <v>502694606.77999997</v>
      </c>
      <c r="L386" s="162">
        <v>330075174.08999997</v>
      </c>
      <c r="M386" s="162">
        <v>175517802.03999999</v>
      </c>
      <c r="N386" s="162">
        <v>175517802.03999999</v>
      </c>
    </row>
    <row r="387" spans="1:14" s="161" customFormat="1" x14ac:dyDescent="0.25">
      <c r="A387" s="161" t="s">
        <v>558</v>
      </c>
      <c r="B387" s="161" t="s">
        <v>221</v>
      </c>
      <c r="C387" s="161" t="s">
        <v>222</v>
      </c>
      <c r="D387" s="161" t="s">
        <v>553</v>
      </c>
      <c r="E387" s="162">
        <v>433000000</v>
      </c>
      <c r="F387" s="162">
        <v>294279374</v>
      </c>
      <c r="G387" s="162">
        <v>294279374</v>
      </c>
      <c r="H387" s="162">
        <v>0</v>
      </c>
      <c r="I387" s="162">
        <v>6019035</v>
      </c>
      <c r="J387" s="162">
        <v>0</v>
      </c>
      <c r="K387" s="162">
        <v>247173408.13</v>
      </c>
      <c r="L387" s="162">
        <v>164768893.28999999</v>
      </c>
      <c r="M387" s="162">
        <v>41086930.869999997</v>
      </c>
      <c r="N387" s="162">
        <v>41086930.869999997</v>
      </c>
    </row>
    <row r="388" spans="1:14" s="161" customFormat="1" x14ac:dyDescent="0.25">
      <c r="A388" s="161" t="s">
        <v>558</v>
      </c>
      <c r="B388" s="161" t="s">
        <v>345</v>
      </c>
      <c r="C388" s="161" t="s">
        <v>346</v>
      </c>
      <c r="D388" s="161" t="s">
        <v>553</v>
      </c>
      <c r="E388" s="162">
        <v>69048000</v>
      </c>
      <c r="F388" s="162">
        <v>69048000</v>
      </c>
      <c r="G388" s="162">
        <v>69048000</v>
      </c>
      <c r="H388" s="162">
        <v>0</v>
      </c>
      <c r="I388" s="162">
        <v>3935643</v>
      </c>
      <c r="J388" s="162">
        <v>0</v>
      </c>
      <c r="K388" s="162">
        <v>65109866.920000002</v>
      </c>
      <c r="L388" s="162">
        <v>34614699.920000002</v>
      </c>
      <c r="M388" s="162">
        <v>2490.08</v>
      </c>
      <c r="N388" s="162">
        <v>2490.08</v>
      </c>
    </row>
    <row r="389" spans="1:14" s="161" customFormat="1" x14ac:dyDescent="0.25">
      <c r="A389" s="161" t="s">
        <v>558</v>
      </c>
      <c r="B389" s="161" t="s">
        <v>347</v>
      </c>
      <c r="C389" s="161" t="s">
        <v>348</v>
      </c>
      <c r="D389" s="161" t="s">
        <v>553</v>
      </c>
      <c r="E389" s="162">
        <v>116458000</v>
      </c>
      <c r="F389" s="162">
        <v>97606469</v>
      </c>
      <c r="G389" s="162">
        <v>97606469</v>
      </c>
      <c r="H389" s="162">
        <v>0</v>
      </c>
      <c r="I389" s="162">
        <v>39170598</v>
      </c>
      <c r="J389" s="162">
        <v>0</v>
      </c>
      <c r="K389" s="162">
        <v>58406417.5</v>
      </c>
      <c r="L389" s="162">
        <v>34681337.5</v>
      </c>
      <c r="M389" s="162">
        <v>29453.5</v>
      </c>
      <c r="N389" s="162">
        <v>29453.5</v>
      </c>
    </row>
    <row r="390" spans="1:14" s="161" customFormat="1" x14ac:dyDescent="0.25">
      <c r="A390" s="161" t="s">
        <v>558</v>
      </c>
      <c r="B390" s="161" t="s">
        <v>223</v>
      </c>
      <c r="C390" s="161" t="s">
        <v>224</v>
      </c>
      <c r="D390" s="161" t="s">
        <v>553</v>
      </c>
      <c r="E390" s="162">
        <v>330000000</v>
      </c>
      <c r="F390" s="162">
        <v>148640637</v>
      </c>
      <c r="G390" s="162">
        <v>148640637</v>
      </c>
      <c r="H390" s="162">
        <v>0</v>
      </c>
      <c r="I390" s="162">
        <v>10000</v>
      </c>
      <c r="J390" s="162">
        <v>0</v>
      </c>
      <c r="K390" s="162">
        <v>36891896.770000003</v>
      </c>
      <c r="L390" s="162">
        <v>36891896.770000003</v>
      </c>
      <c r="M390" s="162">
        <v>111738740.23</v>
      </c>
      <c r="N390" s="162">
        <v>111738740.23</v>
      </c>
    </row>
    <row r="391" spans="1:14" s="161" customFormat="1" x14ac:dyDescent="0.25">
      <c r="A391" s="161" t="s">
        <v>558</v>
      </c>
      <c r="B391" s="161" t="s">
        <v>225</v>
      </c>
      <c r="C391" s="161" t="s">
        <v>226</v>
      </c>
      <c r="D391" s="161" t="s">
        <v>553</v>
      </c>
      <c r="E391" s="162">
        <v>7059000</v>
      </c>
      <c r="F391" s="162">
        <v>7059000</v>
      </c>
      <c r="G391" s="162">
        <v>7059000</v>
      </c>
      <c r="H391" s="162">
        <v>0</v>
      </c>
      <c r="I391" s="162">
        <v>0</v>
      </c>
      <c r="J391" s="162">
        <v>0</v>
      </c>
      <c r="K391" s="162">
        <v>7043000</v>
      </c>
      <c r="L391" s="162">
        <v>7043000</v>
      </c>
      <c r="M391" s="162">
        <v>16000</v>
      </c>
      <c r="N391" s="162">
        <v>16000</v>
      </c>
    </row>
    <row r="392" spans="1:14" s="161" customFormat="1" x14ac:dyDescent="0.25">
      <c r="A392" s="161" t="s">
        <v>558</v>
      </c>
      <c r="B392" s="161" t="s">
        <v>227</v>
      </c>
      <c r="C392" s="161" t="s">
        <v>228</v>
      </c>
      <c r="D392" s="161" t="s">
        <v>553</v>
      </c>
      <c r="E392" s="162">
        <v>151074000</v>
      </c>
      <c r="F392" s="162">
        <v>85190514</v>
      </c>
      <c r="G392" s="162">
        <v>85190514</v>
      </c>
      <c r="H392" s="162">
        <v>0</v>
      </c>
      <c r="I392" s="162">
        <v>40969.18</v>
      </c>
      <c r="J392" s="162">
        <v>0</v>
      </c>
      <c r="K392" s="162">
        <v>65623461.460000001</v>
      </c>
      <c r="L392" s="162">
        <v>40983036.609999999</v>
      </c>
      <c r="M392" s="162">
        <v>19526083.359999999</v>
      </c>
      <c r="N392" s="162">
        <v>19526083.359999999</v>
      </c>
    </row>
    <row r="393" spans="1:14" s="161" customFormat="1" x14ac:dyDescent="0.25">
      <c r="A393" s="161" t="s">
        <v>558</v>
      </c>
      <c r="B393" s="161" t="s">
        <v>229</v>
      </c>
      <c r="C393" s="161" t="s">
        <v>230</v>
      </c>
      <c r="D393" s="161" t="s">
        <v>553</v>
      </c>
      <c r="E393" s="162">
        <v>35134000</v>
      </c>
      <c r="F393" s="162">
        <v>25564660</v>
      </c>
      <c r="G393" s="162">
        <v>25564660</v>
      </c>
      <c r="H393" s="162">
        <v>0</v>
      </c>
      <c r="I393" s="162">
        <v>0</v>
      </c>
      <c r="J393" s="162">
        <v>0</v>
      </c>
      <c r="K393" s="162">
        <v>22446556</v>
      </c>
      <c r="L393" s="162">
        <v>11092310</v>
      </c>
      <c r="M393" s="162">
        <v>3118104</v>
      </c>
      <c r="N393" s="162">
        <v>3118104</v>
      </c>
    </row>
    <row r="394" spans="1:14" s="161" customFormat="1" x14ac:dyDescent="0.25">
      <c r="A394" s="161" t="s">
        <v>558</v>
      </c>
      <c r="B394" s="161" t="s">
        <v>231</v>
      </c>
      <c r="C394" s="161" t="s">
        <v>232</v>
      </c>
      <c r="D394" s="161" t="s">
        <v>553</v>
      </c>
      <c r="E394" s="162">
        <v>289044000</v>
      </c>
      <c r="F394" s="162">
        <v>241220514</v>
      </c>
      <c r="G394" s="162">
        <v>241220514</v>
      </c>
      <c r="H394" s="162">
        <v>0</v>
      </c>
      <c r="I394" s="162">
        <v>29697133.329999998</v>
      </c>
      <c r="J394" s="162">
        <v>0</v>
      </c>
      <c r="K394" s="162">
        <v>158530159.46000001</v>
      </c>
      <c r="L394" s="162">
        <v>78957855.879999995</v>
      </c>
      <c r="M394" s="162">
        <v>52993221.210000001</v>
      </c>
      <c r="N394" s="162">
        <v>52993221.210000001</v>
      </c>
    </row>
    <row r="395" spans="1:14" s="161" customFormat="1" x14ac:dyDescent="0.25">
      <c r="A395" s="161" t="s">
        <v>558</v>
      </c>
      <c r="B395" s="161" t="s">
        <v>233</v>
      </c>
      <c r="C395" s="161" t="s">
        <v>234</v>
      </c>
      <c r="D395" s="161" t="s">
        <v>553</v>
      </c>
      <c r="E395" s="162">
        <v>74595000</v>
      </c>
      <c r="F395" s="162">
        <v>48605013</v>
      </c>
      <c r="G395" s="162">
        <v>48605013</v>
      </c>
      <c r="H395" s="162">
        <v>0</v>
      </c>
      <c r="I395" s="162">
        <v>16855580</v>
      </c>
      <c r="J395" s="162">
        <v>0</v>
      </c>
      <c r="K395" s="162">
        <v>22385891.039999999</v>
      </c>
      <c r="L395" s="162">
        <v>11647541.800000001</v>
      </c>
      <c r="M395" s="162">
        <v>9363541.9600000009</v>
      </c>
      <c r="N395" s="162">
        <v>9363541.9600000009</v>
      </c>
    </row>
    <row r="396" spans="1:14" s="161" customFormat="1" x14ac:dyDescent="0.25">
      <c r="A396" s="161" t="s">
        <v>558</v>
      </c>
      <c r="B396" s="161" t="s">
        <v>235</v>
      </c>
      <c r="C396" s="161" t="s">
        <v>236</v>
      </c>
      <c r="D396" s="161" t="s">
        <v>553</v>
      </c>
      <c r="E396" s="162">
        <v>214449000</v>
      </c>
      <c r="F396" s="162">
        <v>192615501</v>
      </c>
      <c r="G396" s="162">
        <v>192615501</v>
      </c>
      <c r="H396" s="162">
        <v>0</v>
      </c>
      <c r="I396" s="162">
        <v>12841553.33</v>
      </c>
      <c r="J396" s="162">
        <v>0</v>
      </c>
      <c r="K396" s="162">
        <v>136144268.41999999</v>
      </c>
      <c r="L396" s="162">
        <v>67310314.079999998</v>
      </c>
      <c r="M396" s="162">
        <v>43629679.25</v>
      </c>
      <c r="N396" s="162">
        <v>43629679.25</v>
      </c>
    </row>
    <row r="397" spans="1:14" s="161" customFormat="1" x14ac:dyDescent="0.25">
      <c r="A397" s="161" t="s">
        <v>558</v>
      </c>
      <c r="B397" s="161" t="s">
        <v>237</v>
      </c>
      <c r="C397" s="161" t="s">
        <v>238</v>
      </c>
      <c r="D397" s="161" t="s">
        <v>553</v>
      </c>
      <c r="E397" s="162">
        <v>3046863000</v>
      </c>
      <c r="F397" s="162">
        <v>2910860657</v>
      </c>
      <c r="G397" s="162">
        <v>2910860657</v>
      </c>
      <c r="H397" s="162">
        <v>0</v>
      </c>
      <c r="I397" s="162">
        <v>414807652.61000001</v>
      </c>
      <c r="J397" s="162">
        <v>0</v>
      </c>
      <c r="K397" s="162">
        <v>2275024569.4299998</v>
      </c>
      <c r="L397" s="162">
        <v>1609192889.3</v>
      </c>
      <c r="M397" s="162">
        <v>221028434.96000001</v>
      </c>
      <c r="N397" s="162">
        <v>221028434.96000001</v>
      </c>
    </row>
    <row r="398" spans="1:14" s="161" customFormat="1" x14ac:dyDescent="0.25">
      <c r="A398" s="161" t="s">
        <v>558</v>
      </c>
      <c r="B398" s="161" t="s">
        <v>239</v>
      </c>
      <c r="C398" s="161" t="s">
        <v>240</v>
      </c>
      <c r="D398" s="161" t="s">
        <v>553</v>
      </c>
      <c r="E398" s="162">
        <v>39631000</v>
      </c>
      <c r="F398" s="162">
        <v>11406366</v>
      </c>
      <c r="G398" s="162">
        <v>11406366</v>
      </c>
      <c r="H398" s="162">
        <v>0</v>
      </c>
      <c r="I398" s="162">
        <v>0</v>
      </c>
      <c r="J398" s="162">
        <v>0</v>
      </c>
      <c r="K398" s="162">
        <v>3940645.06</v>
      </c>
      <c r="L398" s="162">
        <v>3702445.06</v>
      </c>
      <c r="M398" s="162">
        <v>7465720.9400000004</v>
      </c>
      <c r="N398" s="162">
        <v>7465720.9400000004</v>
      </c>
    </row>
    <row r="399" spans="1:14" s="161" customFormat="1" x14ac:dyDescent="0.25">
      <c r="A399" s="161" t="s">
        <v>558</v>
      </c>
      <c r="B399" s="161" t="s">
        <v>241</v>
      </c>
      <c r="C399" s="161" t="s">
        <v>242</v>
      </c>
      <c r="D399" s="161" t="s">
        <v>553</v>
      </c>
      <c r="E399" s="162">
        <v>24278000</v>
      </c>
      <c r="F399" s="162">
        <v>23924268</v>
      </c>
      <c r="G399" s="162">
        <v>23924268</v>
      </c>
      <c r="H399" s="162">
        <v>0</v>
      </c>
      <c r="I399" s="162">
        <v>5406256.1900000004</v>
      </c>
      <c r="J399" s="162">
        <v>0</v>
      </c>
      <c r="K399" s="162">
        <v>13571361.869999999</v>
      </c>
      <c r="L399" s="162">
        <v>12149443.52</v>
      </c>
      <c r="M399" s="162">
        <v>4946649.9400000004</v>
      </c>
      <c r="N399" s="162">
        <v>4946649.9400000004</v>
      </c>
    </row>
    <row r="400" spans="1:14" s="161" customFormat="1" x14ac:dyDescent="0.25">
      <c r="A400" s="161" t="s">
        <v>558</v>
      </c>
      <c r="B400" s="161" t="s">
        <v>243</v>
      </c>
      <c r="C400" s="161" t="s">
        <v>244</v>
      </c>
      <c r="D400" s="161" t="s">
        <v>553</v>
      </c>
      <c r="E400" s="162">
        <v>259995000</v>
      </c>
      <c r="F400" s="162">
        <v>221306747</v>
      </c>
      <c r="G400" s="162">
        <v>221306747</v>
      </c>
      <c r="H400" s="162">
        <v>0</v>
      </c>
      <c r="I400" s="162">
        <v>20176205.940000001</v>
      </c>
      <c r="J400" s="162">
        <v>0</v>
      </c>
      <c r="K400" s="162">
        <v>121273573.92</v>
      </c>
      <c r="L400" s="162">
        <v>92679873.920000002</v>
      </c>
      <c r="M400" s="162">
        <v>79856967.140000001</v>
      </c>
      <c r="N400" s="162">
        <v>79856967.140000001</v>
      </c>
    </row>
    <row r="401" spans="1:14" s="161" customFormat="1" x14ac:dyDescent="0.25">
      <c r="A401" s="161" t="s">
        <v>558</v>
      </c>
      <c r="B401" s="161" t="s">
        <v>245</v>
      </c>
      <c r="C401" s="161" t="s">
        <v>246</v>
      </c>
      <c r="D401" s="161" t="s">
        <v>553</v>
      </c>
      <c r="E401" s="162">
        <v>1200000000</v>
      </c>
      <c r="F401" s="162">
        <v>1198984641</v>
      </c>
      <c r="G401" s="162">
        <v>1198984641</v>
      </c>
      <c r="H401" s="162">
        <v>0</v>
      </c>
      <c r="I401" s="162">
        <v>293236817</v>
      </c>
      <c r="J401" s="162">
        <v>0</v>
      </c>
      <c r="K401" s="162">
        <v>858280831.88999999</v>
      </c>
      <c r="L401" s="162">
        <v>297905321.88999999</v>
      </c>
      <c r="M401" s="162">
        <v>47466992.109999999</v>
      </c>
      <c r="N401" s="162">
        <v>47466992.109999999</v>
      </c>
    </row>
    <row r="402" spans="1:14" s="161" customFormat="1" x14ac:dyDescent="0.25">
      <c r="A402" s="161" t="s">
        <v>558</v>
      </c>
      <c r="B402" s="161" t="s">
        <v>247</v>
      </c>
      <c r="C402" s="161" t="s">
        <v>248</v>
      </c>
      <c r="D402" s="161" t="s">
        <v>553</v>
      </c>
      <c r="E402" s="162">
        <v>381516000</v>
      </c>
      <c r="F402" s="162">
        <v>329376981</v>
      </c>
      <c r="G402" s="162">
        <v>329376981</v>
      </c>
      <c r="H402" s="162">
        <v>0</v>
      </c>
      <c r="I402" s="162">
        <v>34293672.210000001</v>
      </c>
      <c r="J402" s="162">
        <v>0</v>
      </c>
      <c r="K402" s="162">
        <v>279917637.05000001</v>
      </c>
      <c r="L402" s="162">
        <v>257460857.13999999</v>
      </c>
      <c r="M402" s="162">
        <v>15165671.74</v>
      </c>
      <c r="N402" s="162">
        <v>15165671.74</v>
      </c>
    </row>
    <row r="403" spans="1:14" s="161" customFormat="1" x14ac:dyDescent="0.25">
      <c r="A403" s="161" t="s">
        <v>558</v>
      </c>
      <c r="B403" s="161" t="s">
        <v>249</v>
      </c>
      <c r="C403" s="161" t="s">
        <v>250</v>
      </c>
      <c r="D403" s="161" t="s">
        <v>553</v>
      </c>
      <c r="E403" s="162">
        <v>800000000</v>
      </c>
      <c r="F403" s="162">
        <v>784512967</v>
      </c>
      <c r="G403" s="162">
        <v>784512967</v>
      </c>
      <c r="H403" s="162">
        <v>0</v>
      </c>
      <c r="I403" s="162">
        <v>420493.25</v>
      </c>
      <c r="J403" s="162">
        <v>0</v>
      </c>
      <c r="K403" s="162">
        <v>776873272.45000005</v>
      </c>
      <c r="L403" s="162">
        <v>767623820.99000001</v>
      </c>
      <c r="M403" s="162">
        <v>7219201.2999999998</v>
      </c>
      <c r="N403" s="162">
        <v>7219201.2999999998</v>
      </c>
    </row>
    <row r="404" spans="1:14" s="161" customFormat="1" x14ac:dyDescent="0.25">
      <c r="A404" s="161" t="s">
        <v>558</v>
      </c>
      <c r="B404" s="161" t="s">
        <v>251</v>
      </c>
      <c r="C404" s="161" t="s">
        <v>252</v>
      </c>
      <c r="D404" s="161" t="s">
        <v>553</v>
      </c>
      <c r="E404" s="162">
        <v>112559000</v>
      </c>
      <c r="F404" s="162">
        <v>112559000</v>
      </c>
      <c r="G404" s="162">
        <v>112559000</v>
      </c>
      <c r="H404" s="162">
        <v>0</v>
      </c>
      <c r="I404" s="162">
        <v>34005576.770000003</v>
      </c>
      <c r="J404" s="162">
        <v>0</v>
      </c>
      <c r="K404" s="162">
        <v>63023805.880000003</v>
      </c>
      <c r="L404" s="162">
        <v>52439805.880000003</v>
      </c>
      <c r="M404" s="162">
        <v>15529617.35</v>
      </c>
      <c r="N404" s="162">
        <v>15529617.35</v>
      </c>
    </row>
    <row r="405" spans="1:14" s="161" customFormat="1" x14ac:dyDescent="0.25">
      <c r="A405" s="161" t="s">
        <v>558</v>
      </c>
      <c r="B405" s="161" t="s">
        <v>253</v>
      </c>
      <c r="C405" s="161" t="s">
        <v>254</v>
      </c>
      <c r="D405" s="161" t="s">
        <v>553</v>
      </c>
      <c r="E405" s="162">
        <v>228884000</v>
      </c>
      <c r="F405" s="162">
        <v>228789687</v>
      </c>
      <c r="G405" s="162">
        <v>228789687</v>
      </c>
      <c r="H405" s="162">
        <v>0</v>
      </c>
      <c r="I405" s="162">
        <v>27268631.25</v>
      </c>
      <c r="J405" s="162">
        <v>0</v>
      </c>
      <c r="K405" s="162">
        <v>158143441.31</v>
      </c>
      <c r="L405" s="162">
        <v>125231320.90000001</v>
      </c>
      <c r="M405" s="162">
        <v>43377614.439999998</v>
      </c>
      <c r="N405" s="162">
        <v>43377614.439999998</v>
      </c>
    </row>
    <row r="406" spans="1:14" s="161" customFormat="1" x14ac:dyDescent="0.25">
      <c r="A406" s="161" t="s">
        <v>558</v>
      </c>
      <c r="B406" s="161" t="s">
        <v>285</v>
      </c>
      <c r="C406" s="161" t="s">
        <v>286</v>
      </c>
      <c r="D406" s="161" t="s">
        <v>553</v>
      </c>
      <c r="E406" s="162">
        <v>3776821000</v>
      </c>
      <c r="F406" s="162">
        <v>3504078444</v>
      </c>
      <c r="G406" s="162">
        <v>3504078444</v>
      </c>
      <c r="H406" s="162">
        <v>0</v>
      </c>
      <c r="I406" s="162">
        <v>772237673.52999997</v>
      </c>
      <c r="J406" s="162">
        <v>0</v>
      </c>
      <c r="K406" s="162">
        <v>2457127272.3200002</v>
      </c>
      <c r="L406" s="162">
        <v>1735270701.0899999</v>
      </c>
      <c r="M406" s="162">
        <v>274713498.14999998</v>
      </c>
      <c r="N406" s="162">
        <v>274713498.14999998</v>
      </c>
    </row>
    <row r="407" spans="1:14" s="161" customFormat="1" x14ac:dyDescent="0.25">
      <c r="A407" s="161" t="s">
        <v>558</v>
      </c>
      <c r="B407" s="161" t="s">
        <v>287</v>
      </c>
      <c r="C407" s="161" t="s">
        <v>288</v>
      </c>
      <c r="D407" s="161" t="s">
        <v>553</v>
      </c>
      <c r="E407" s="162">
        <v>1343483000</v>
      </c>
      <c r="F407" s="162">
        <v>1443057663</v>
      </c>
      <c r="G407" s="162">
        <v>1443057663</v>
      </c>
      <c r="H407" s="162">
        <v>0</v>
      </c>
      <c r="I407" s="162">
        <v>128173154.40000001</v>
      </c>
      <c r="J407" s="162">
        <v>0</v>
      </c>
      <c r="K407" s="162">
        <v>1204278171.5799999</v>
      </c>
      <c r="L407" s="162">
        <v>801956463.50999999</v>
      </c>
      <c r="M407" s="162">
        <v>110606337.02</v>
      </c>
      <c r="N407" s="162">
        <v>110606337.02</v>
      </c>
    </row>
    <row r="408" spans="1:14" s="161" customFormat="1" x14ac:dyDescent="0.25">
      <c r="A408" s="161" t="s">
        <v>558</v>
      </c>
      <c r="B408" s="161" t="s">
        <v>410</v>
      </c>
      <c r="C408" s="161" t="s">
        <v>513</v>
      </c>
      <c r="D408" s="161" t="s">
        <v>553</v>
      </c>
      <c r="E408" s="162">
        <v>0</v>
      </c>
      <c r="F408" s="162">
        <v>2815000</v>
      </c>
      <c r="G408" s="162">
        <v>2815000</v>
      </c>
      <c r="H408" s="162">
        <v>0</v>
      </c>
      <c r="I408" s="162">
        <v>0</v>
      </c>
      <c r="J408" s="162">
        <v>0</v>
      </c>
      <c r="K408" s="162">
        <v>0</v>
      </c>
      <c r="L408" s="162">
        <v>0</v>
      </c>
      <c r="M408" s="162">
        <v>2815000</v>
      </c>
      <c r="N408" s="162">
        <v>2815000</v>
      </c>
    </row>
    <row r="409" spans="1:14" s="161" customFormat="1" x14ac:dyDescent="0.25">
      <c r="A409" s="161" t="s">
        <v>558</v>
      </c>
      <c r="B409" s="161" t="s">
        <v>291</v>
      </c>
      <c r="C409" s="161" t="s">
        <v>292</v>
      </c>
      <c r="D409" s="161" t="s">
        <v>553</v>
      </c>
      <c r="E409" s="162">
        <v>0</v>
      </c>
      <c r="F409" s="162">
        <v>79288653</v>
      </c>
      <c r="G409" s="162">
        <v>79288653</v>
      </c>
      <c r="H409" s="162">
        <v>0</v>
      </c>
      <c r="I409" s="162">
        <v>16197.33</v>
      </c>
      <c r="J409" s="162">
        <v>0</v>
      </c>
      <c r="K409" s="162">
        <v>63611738.490000002</v>
      </c>
      <c r="L409" s="162">
        <v>155307.09</v>
      </c>
      <c r="M409" s="162">
        <v>15660717.18</v>
      </c>
      <c r="N409" s="162">
        <v>15660717.18</v>
      </c>
    </row>
    <row r="410" spans="1:14" s="161" customFormat="1" x14ac:dyDescent="0.25">
      <c r="A410" s="161" t="s">
        <v>558</v>
      </c>
      <c r="B410" s="161" t="s">
        <v>293</v>
      </c>
      <c r="C410" s="161" t="s">
        <v>294</v>
      </c>
      <c r="D410" s="161" t="s">
        <v>553</v>
      </c>
      <c r="E410" s="162">
        <v>0</v>
      </c>
      <c r="F410" s="162">
        <v>21473410</v>
      </c>
      <c r="G410" s="162">
        <v>21473410</v>
      </c>
      <c r="H410" s="162">
        <v>0</v>
      </c>
      <c r="I410" s="162">
        <v>10755004</v>
      </c>
      <c r="J410" s="162">
        <v>0</v>
      </c>
      <c r="K410" s="162">
        <v>10710770</v>
      </c>
      <c r="L410" s="162">
        <v>0</v>
      </c>
      <c r="M410" s="162">
        <v>7636</v>
      </c>
      <c r="N410" s="162">
        <v>7636</v>
      </c>
    </row>
    <row r="411" spans="1:14" s="161" customFormat="1" x14ac:dyDescent="0.25">
      <c r="A411" s="161" t="s">
        <v>558</v>
      </c>
      <c r="B411" s="161" t="s">
        <v>289</v>
      </c>
      <c r="C411" s="161" t="s">
        <v>290</v>
      </c>
      <c r="D411" s="161" t="s">
        <v>555</v>
      </c>
      <c r="E411" s="162">
        <v>70000000</v>
      </c>
      <c r="F411" s="162">
        <v>59380528</v>
      </c>
      <c r="G411" s="162">
        <v>59380528</v>
      </c>
      <c r="H411" s="162">
        <v>0</v>
      </c>
      <c r="I411" s="162">
        <v>0</v>
      </c>
      <c r="J411" s="162">
        <v>0</v>
      </c>
      <c r="K411" s="162">
        <v>55229745.359999999</v>
      </c>
      <c r="L411" s="162">
        <v>50529745.359999999</v>
      </c>
      <c r="M411" s="162">
        <v>4150782.64</v>
      </c>
      <c r="N411" s="162">
        <v>4150782.64</v>
      </c>
    </row>
    <row r="412" spans="1:14" s="161" customFormat="1" x14ac:dyDescent="0.25">
      <c r="A412" s="161" t="s">
        <v>558</v>
      </c>
      <c r="B412" s="161" t="s">
        <v>410</v>
      </c>
      <c r="C412" s="161" t="s">
        <v>513</v>
      </c>
      <c r="D412" s="161" t="s">
        <v>555</v>
      </c>
      <c r="E412" s="162">
        <v>100000000</v>
      </c>
      <c r="F412" s="162">
        <v>155300000</v>
      </c>
      <c r="G412" s="162">
        <v>155300000</v>
      </c>
      <c r="H412" s="162">
        <v>0</v>
      </c>
      <c r="I412" s="162">
        <v>16883370</v>
      </c>
      <c r="J412" s="162">
        <v>0</v>
      </c>
      <c r="K412" s="162">
        <v>135673064</v>
      </c>
      <c r="L412" s="162">
        <v>98650000</v>
      </c>
      <c r="M412" s="162">
        <v>2743566</v>
      </c>
      <c r="N412" s="162">
        <v>2743566</v>
      </c>
    </row>
    <row r="413" spans="1:14" s="161" customFormat="1" x14ac:dyDescent="0.25">
      <c r="A413" s="161" t="s">
        <v>558</v>
      </c>
      <c r="B413" s="161" t="s">
        <v>291</v>
      </c>
      <c r="C413" s="161" t="s">
        <v>292</v>
      </c>
      <c r="D413" s="161" t="s">
        <v>555</v>
      </c>
      <c r="E413" s="162">
        <v>200000000</v>
      </c>
      <c r="F413" s="162">
        <v>213856672</v>
      </c>
      <c r="G413" s="162">
        <v>213856672</v>
      </c>
      <c r="H413" s="162">
        <v>0</v>
      </c>
      <c r="I413" s="162">
        <v>0</v>
      </c>
      <c r="J413" s="162">
        <v>0</v>
      </c>
      <c r="K413" s="162">
        <v>202182643.18000001</v>
      </c>
      <c r="L413" s="162">
        <v>33274975</v>
      </c>
      <c r="M413" s="162">
        <v>11674028.82</v>
      </c>
      <c r="N413" s="162">
        <v>11674028.82</v>
      </c>
    </row>
    <row r="414" spans="1:14" s="161" customFormat="1" x14ac:dyDescent="0.25">
      <c r="A414" s="161" t="s">
        <v>558</v>
      </c>
      <c r="B414" s="161" t="s">
        <v>293</v>
      </c>
      <c r="C414" s="161" t="s">
        <v>294</v>
      </c>
      <c r="D414" s="161" t="s">
        <v>555</v>
      </c>
      <c r="E414" s="162">
        <v>90000000</v>
      </c>
      <c r="F414" s="162">
        <v>90000000</v>
      </c>
      <c r="G414" s="162">
        <v>90000000</v>
      </c>
      <c r="H414" s="162">
        <v>0</v>
      </c>
      <c r="I414" s="162">
        <v>0</v>
      </c>
      <c r="J414" s="162">
        <v>0</v>
      </c>
      <c r="K414" s="162">
        <v>65544888.5</v>
      </c>
      <c r="L414" s="162">
        <v>62664888.5</v>
      </c>
      <c r="M414" s="162">
        <v>24455111.5</v>
      </c>
      <c r="N414" s="162">
        <v>24455111.5</v>
      </c>
    </row>
    <row r="415" spans="1:14" s="161" customFormat="1" x14ac:dyDescent="0.25">
      <c r="A415" s="161" t="s">
        <v>558</v>
      </c>
      <c r="B415" s="161" t="s">
        <v>295</v>
      </c>
      <c r="C415" s="161" t="s">
        <v>296</v>
      </c>
      <c r="D415" s="161" t="s">
        <v>555</v>
      </c>
      <c r="E415" s="162">
        <v>86000000</v>
      </c>
      <c r="F415" s="162">
        <v>73460400</v>
      </c>
      <c r="G415" s="162">
        <v>73460400</v>
      </c>
      <c r="H415" s="162">
        <v>0</v>
      </c>
      <c r="I415" s="162">
        <v>15613250.310000001</v>
      </c>
      <c r="J415" s="162">
        <v>0</v>
      </c>
      <c r="K415" s="162">
        <v>53165201.950000003</v>
      </c>
      <c r="L415" s="162">
        <v>34646648.640000001</v>
      </c>
      <c r="M415" s="162">
        <v>4681947.74</v>
      </c>
      <c r="N415" s="162">
        <v>4681947.74</v>
      </c>
    </row>
    <row r="416" spans="1:14" s="161" customFormat="1" x14ac:dyDescent="0.25">
      <c r="A416" s="161" t="s">
        <v>558</v>
      </c>
      <c r="B416" s="161" t="s">
        <v>297</v>
      </c>
      <c r="C416" s="161" t="s">
        <v>298</v>
      </c>
      <c r="D416" s="161" t="s">
        <v>555</v>
      </c>
      <c r="E416" s="162">
        <v>57905000</v>
      </c>
      <c r="F416" s="162">
        <v>57905000</v>
      </c>
      <c r="G416" s="162">
        <v>57905000</v>
      </c>
      <c r="H416" s="162">
        <v>0</v>
      </c>
      <c r="I416" s="162">
        <v>16335295.529999999</v>
      </c>
      <c r="J416" s="162">
        <v>0</v>
      </c>
      <c r="K416" s="162">
        <v>40436535.530000001</v>
      </c>
      <c r="L416" s="162">
        <v>20140162.710000001</v>
      </c>
      <c r="M416" s="162">
        <v>1133168.94</v>
      </c>
      <c r="N416" s="162">
        <v>1133168.94</v>
      </c>
    </row>
    <row r="417" spans="1:14" s="161" customFormat="1" x14ac:dyDescent="0.25">
      <c r="A417" s="161" t="s">
        <v>558</v>
      </c>
      <c r="B417" s="161" t="s">
        <v>299</v>
      </c>
      <c r="C417" s="161" t="s">
        <v>300</v>
      </c>
      <c r="D417" s="161" t="s">
        <v>555</v>
      </c>
      <c r="E417" s="162">
        <v>7780000</v>
      </c>
      <c r="F417" s="162">
        <v>7780000</v>
      </c>
      <c r="G417" s="162">
        <v>7780000</v>
      </c>
      <c r="H417" s="162">
        <v>0</v>
      </c>
      <c r="I417" s="162">
        <v>3981450</v>
      </c>
      <c r="J417" s="162">
        <v>0</v>
      </c>
      <c r="K417" s="162">
        <v>3084170</v>
      </c>
      <c r="L417" s="162">
        <v>0</v>
      </c>
      <c r="M417" s="162">
        <v>714380</v>
      </c>
      <c r="N417" s="162">
        <v>714380</v>
      </c>
    </row>
    <row r="418" spans="1:14" s="161" customFormat="1" x14ac:dyDescent="0.25">
      <c r="A418" s="161" t="s">
        <v>558</v>
      </c>
      <c r="B418" s="161" t="s">
        <v>301</v>
      </c>
      <c r="C418" s="161" t="s">
        <v>302</v>
      </c>
      <c r="D418" s="161" t="s">
        <v>555</v>
      </c>
      <c r="E418" s="162">
        <v>731798000</v>
      </c>
      <c r="F418" s="162">
        <v>681798000</v>
      </c>
      <c r="G418" s="162">
        <v>681798000</v>
      </c>
      <c r="H418" s="162">
        <v>0</v>
      </c>
      <c r="I418" s="162">
        <v>64588587.229999997</v>
      </c>
      <c r="J418" s="162">
        <v>0</v>
      </c>
      <c r="K418" s="162">
        <v>574639414.57000005</v>
      </c>
      <c r="L418" s="162">
        <v>501894736.20999998</v>
      </c>
      <c r="M418" s="162">
        <v>42569998.200000003</v>
      </c>
      <c r="N418" s="162">
        <v>42569998.200000003</v>
      </c>
    </row>
    <row r="419" spans="1:14" s="161" customFormat="1" x14ac:dyDescent="0.25">
      <c r="A419" s="161" t="s">
        <v>558</v>
      </c>
      <c r="B419" s="161" t="s">
        <v>303</v>
      </c>
      <c r="C419" s="161" t="s">
        <v>304</v>
      </c>
      <c r="D419" s="161" t="s">
        <v>555</v>
      </c>
      <c r="E419" s="162">
        <v>2093838000</v>
      </c>
      <c r="F419" s="162">
        <v>1728431799</v>
      </c>
      <c r="G419" s="162">
        <v>1728431799</v>
      </c>
      <c r="H419" s="162">
        <v>0</v>
      </c>
      <c r="I419" s="162">
        <v>641287016.71000004</v>
      </c>
      <c r="J419" s="162">
        <v>0</v>
      </c>
      <c r="K419" s="162">
        <v>944354234.41999996</v>
      </c>
      <c r="L419" s="162">
        <v>875653083.84000003</v>
      </c>
      <c r="M419" s="162">
        <v>142790547.87</v>
      </c>
      <c r="N419" s="162">
        <v>142790547.87</v>
      </c>
    </row>
    <row r="420" spans="1:14" s="161" customFormat="1" x14ac:dyDescent="0.25">
      <c r="A420" s="161" t="s">
        <v>558</v>
      </c>
      <c r="B420" s="161" t="s">
        <v>305</v>
      </c>
      <c r="C420" s="161" t="s">
        <v>306</v>
      </c>
      <c r="D420" s="161" t="s">
        <v>555</v>
      </c>
      <c r="E420" s="162">
        <v>1743750000</v>
      </c>
      <c r="F420" s="162">
        <v>1719669800</v>
      </c>
      <c r="G420" s="162">
        <v>1719669800</v>
      </c>
      <c r="H420" s="162">
        <v>0</v>
      </c>
      <c r="I420" s="162">
        <v>640613017.71000004</v>
      </c>
      <c r="J420" s="162">
        <v>0</v>
      </c>
      <c r="K420" s="162">
        <v>936266234.46000004</v>
      </c>
      <c r="L420" s="162">
        <v>868239083.88</v>
      </c>
      <c r="M420" s="162">
        <v>142790547.83000001</v>
      </c>
      <c r="N420" s="162">
        <v>142790547.83000001</v>
      </c>
    </row>
    <row r="421" spans="1:14" s="161" customFormat="1" x14ac:dyDescent="0.25">
      <c r="A421" s="161" t="s">
        <v>558</v>
      </c>
      <c r="B421" s="161" t="s">
        <v>378</v>
      </c>
      <c r="C421" s="161" t="s">
        <v>379</v>
      </c>
      <c r="D421" s="161" t="s">
        <v>555</v>
      </c>
      <c r="E421" s="162">
        <v>350088000</v>
      </c>
      <c r="F421" s="162">
        <v>8761999</v>
      </c>
      <c r="G421" s="162">
        <v>8761999</v>
      </c>
      <c r="H421" s="162">
        <v>0</v>
      </c>
      <c r="I421" s="162">
        <v>673999</v>
      </c>
      <c r="J421" s="162">
        <v>0</v>
      </c>
      <c r="K421" s="162">
        <v>8087999.96</v>
      </c>
      <c r="L421" s="162">
        <v>7413999.96</v>
      </c>
      <c r="M421" s="162">
        <v>0.04</v>
      </c>
      <c r="N421" s="162">
        <v>0.04</v>
      </c>
    </row>
    <row r="422" spans="1:14" s="161" customFormat="1" x14ac:dyDescent="0.25">
      <c r="A422" s="161" t="s">
        <v>558</v>
      </c>
      <c r="B422" s="161" t="s">
        <v>349</v>
      </c>
      <c r="C422" s="161" t="s">
        <v>350</v>
      </c>
      <c r="D422" s="161" t="s">
        <v>555</v>
      </c>
      <c r="E422" s="162">
        <v>339500000</v>
      </c>
      <c r="F422" s="162">
        <v>332588982</v>
      </c>
      <c r="G422" s="162">
        <v>332588982</v>
      </c>
      <c r="H422" s="162">
        <v>0</v>
      </c>
      <c r="I422" s="162">
        <v>2777502.42</v>
      </c>
      <c r="J422" s="162">
        <v>0</v>
      </c>
      <c r="K422" s="162">
        <v>308494866.31999999</v>
      </c>
      <c r="L422" s="162">
        <v>57661153.740000002</v>
      </c>
      <c r="M422" s="162">
        <v>21316613.260000002</v>
      </c>
      <c r="N422" s="162">
        <v>21316613.260000002</v>
      </c>
    </row>
    <row r="423" spans="1:14" s="161" customFormat="1" x14ac:dyDescent="0.25">
      <c r="A423" s="161" t="s">
        <v>558</v>
      </c>
      <c r="B423" s="161" t="s">
        <v>351</v>
      </c>
      <c r="C423" s="161" t="s">
        <v>352</v>
      </c>
      <c r="D423" s="161" t="s">
        <v>555</v>
      </c>
      <c r="E423" s="162">
        <v>339500000</v>
      </c>
      <c r="F423" s="162">
        <v>332588982</v>
      </c>
      <c r="G423" s="162">
        <v>332588982</v>
      </c>
      <c r="H423" s="162">
        <v>0</v>
      </c>
      <c r="I423" s="162">
        <v>2777502.42</v>
      </c>
      <c r="J423" s="162">
        <v>0</v>
      </c>
      <c r="K423" s="162">
        <v>308494866.31999999</v>
      </c>
      <c r="L423" s="162">
        <v>57661153.740000002</v>
      </c>
      <c r="M423" s="162">
        <v>21316613.260000002</v>
      </c>
      <c r="N423" s="162">
        <v>21316613.260000002</v>
      </c>
    </row>
    <row r="424" spans="1:14" s="161" customFormat="1" x14ac:dyDescent="0.25">
      <c r="A424" s="161" t="s">
        <v>558</v>
      </c>
      <c r="B424" s="161" t="s">
        <v>255</v>
      </c>
      <c r="C424" s="161" t="s">
        <v>256</v>
      </c>
      <c r="D424" s="161" t="s">
        <v>553</v>
      </c>
      <c r="E424" s="162">
        <v>1881997000</v>
      </c>
      <c r="F424" s="162">
        <v>2703563291.1700001</v>
      </c>
      <c r="G424" s="162">
        <v>2703563291.1700001</v>
      </c>
      <c r="H424" s="162">
        <v>0</v>
      </c>
      <c r="I424" s="162">
        <v>77872794.379999995</v>
      </c>
      <c r="J424" s="162">
        <v>0</v>
      </c>
      <c r="K424" s="162">
        <v>2444618524.7199998</v>
      </c>
      <c r="L424" s="162">
        <v>2420497527.0599999</v>
      </c>
      <c r="M424" s="162">
        <v>181071972.06999999</v>
      </c>
      <c r="N424" s="162">
        <v>181071972.06999999</v>
      </c>
    </row>
    <row r="425" spans="1:14" s="161" customFormat="1" x14ac:dyDescent="0.25">
      <c r="A425" s="161" t="s">
        <v>558</v>
      </c>
      <c r="B425" s="161" t="s">
        <v>257</v>
      </c>
      <c r="C425" s="161" t="s">
        <v>258</v>
      </c>
      <c r="D425" s="161" t="s">
        <v>553</v>
      </c>
      <c r="E425" s="162">
        <v>630544000</v>
      </c>
      <c r="F425" s="162">
        <v>625784456</v>
      </c>
      <c r="G425" s="162">
        <v>625784456</v>
      </c>
      <c r="H425" s="162">
        <v>0</v>
      </c>
      <c r="I425" s="162">
        <v>0</v>
      </c>
      <c r="J425" s="162">
        <v>0</v>
      </c>
      <c r="K425" s="162">
        <v>570899685.5</v>
      </c>
      <c r="L425" s="162">
        <v>570899685.5</v>
      </c>
      <c r="M425" s="162">
        <v>54884770.5</v>
      </c>
      <c r="N425" s="162">
        <v>54884770.5</v>
      </c>
    </row>
    <row r="426" spans="1:14" s="161" customFormat="1" x14ac:dyDescent="0.25">
      <c r="A426" s="161" t="s">
        <v>558</v>
      </c>
      <c r="B426" s="161" t="s">
        <v>380</v>
      </c>
      <c r="C426" s="161" t="s">
        <v>381</v>
      </c>
      <c r="D426" s="161" t="s">
        <v>553</v>
      </c>
      <c r="E426" s="162">
        <v>179500000</v>
      </c>
      <c r="F426" s="162">
        <v>179500000</v>
      </c>
      <c r="G426" s="162">
        <v>179500000</v>
      </c>
      <c r="H426" s="162">
        <v>0</v>
      </c>
      <c r="I426" s="162">
        <v>0</v>
      </c>
      <c r="J426" s="162">
        <v>0</v>
      </c>
      <c r="K426" s="162">
        <v>131960000</v>
      </c>
      <c r="L426" s="162">
        <v>131960000</v>
      </c>
      <c r="M426" s="162">
        <v>47540000</v>
      </c>
      <c r="N426" s="162">
        <v>47540000</v>
      </c>
    </row>
    <row r="427" spans="1:14" s="161" customFormat="1" x14ac:dyDescent="0.25">
      <c r="A427" s="161" t="s">
        <v>558</v>
      </c>
      <c r="B427" s="161" t="s">
        <v>382</v>
      </c>
      <c r="C427" s="161" t="s">
        <v>264</v>
      </c>
      <c r="D427" s="161" t="s">
        <v>553</v>
      </c>
      <c r="E427" s="162">
        <v>315187000</v>
      </c>
      <c r="F427" s="162">
        <v>315187000</v>
      </c>
      <c r="G427" s="162">
        <v>315187000</v>
      </c>
      <c r="H427" s="162">
        <v>0</v>
      </c>
      <c r="I427" s="162">
        <v>0</v>
      </c>
      <c r="J427" s="162">
        <v>0</v>
      </c>
      <c r="K427" s="162">
        <v>315186998.5</v>
      </c>
      <c r="L427" s="162">
        <v>315186998.5</v>
      </c>
      <c r="M427" s="162">
        <v>1.5</v>
      </c>
      <c r="N427" s="162">
        <v>1.5</v>
      </c>
    </row>
    <row r="428" spans="1:14" s="161" customFormat="1" x14ac:dyDescent="0.25">
      <c r="A428" s="161" t="s">
        <v>558</v>
      </c>
      <c r="B428" s="161" t="s">
        <v>383</v>
      </c>
      <c r="C428" s="161" t="s">
        <v>266</v>
      </c>
      <c r="D428" s="161" t="s">
        <v>553</v>
      </c>
      <c r="E428" s="162">
        <v>135857000</v>
      </c>
      <c r="F428" s="162">
        <v>131097456</v>
      </c>
      <c r="G428" s="162">
        <v>131097456</v>
      </c>
      <c r="H428" s="162">
        <v>0</v>
      </c>
      <c r="I428" s="162">
        <v>0</v>
      </c>
      <c r="J428" s="162">
        <v>0</v>
      </c>
      <c r="K428" s="162">
        <v>123752687</v>
      </c>
      <c r="L428" s="162">
        <v>123752687</v>
      </c>
      <c r="M428" s="162">
        <v>7344769</v>
      </c>
      <c r="N428" s="162">
        <v>7344769</v>
      </c>
    </row>
    <row r="429" spans="1:14" s="161" customFormat="1" x14ac:dyDescent="0.25">
      <c r="A429" s="161" t="s">
        <v>558</v>
      </c>
      <c r="B429" s="161" t="s">
        <v>384</v>
      </c>
      <c r="C429" s="161" t="s">
        <v>385</v>
      </c>
      <c r="D429" s="161" t="s">
        <v>553</v>
      </c>
      <c r="E429" s="162">
        <v>450000000</v>
      </c>
      <c r="F429" s="162">
        <v>450000000</v>
      </c>
      <c r="G429" s="162">
        <v>450000000</v>
      </c>
      <c r="H429" s="162">
        <v>0</v>
      </c>
      <c r="I429" s="162">
        <v>32500000</v>
      </c>
      <c r="J429" s="162">
        <v>0</v>
      </c>
      <c r="K429" s="162">
        <v>417500000</v>
      </c>
      <c r="L429" s="162">
        <v>417500000</v>
      </c>
      <c r="M429" s="162">
        <v>0</v>
      </c>
      <c r="N429" s="162">
        <v>0</v>
      </c>
    </row>
    <row r="430" spans="1:14" s="161" customFormat="1" x14ac:dyDescent="0.25">
      <c r="A430" s="161" t="s">
        <v>558</v>
      </c>
      <c r="B430" s="161" t="s">
        <v>386</v>
      </c>
      <c r="C430" s="161" t="s">
        <v>387</v>
      </c>
      <c r="D430" s="161" t="s">
        <v>553</v>
      </c>
      <c r="E430" s="162">
        <v>450000000</v>
      </c>
      <c r="F430" s="162">
        <v>450000000</v>
      </c>
      <c r="G430" s="162">
        <v>450000000</v>
      </c>
      <c r="H430" s="162">
        <v>0</v>
      </c>
      <c r="I430" s="162">
        <v>32500000</v>
      </c>
      <c r="J430" s="162">
        <v>0</v>
      </c>
      <c r="K430" s="162">
        <v>417500000</v>
      </c>
      <c r="L430" s="162">
        <v>417500000</v>
      </c>
      <c r="M430" s="162">
        <v>0</v>
      </c>
      <c r="N430" s="162">
        <v>0</v>
      </c>
    </row>
    <row r="431" spans="1:14" s="161" customFormat="1" x14ac:dyDescent="0.25">
      <c r="A431" s="161" t="s">
        <v>558</v>
      </c>
      <c r="B431" s="161" t="s">
        <v>267</v>
      </c>
      <c r="C431" s="161" t="s">
        <v>268</v>
      </c>
      <c r="D431" s="161" t="s">
        <v>553</v>
      </c>
      <c r="E431" s="162">
        <v>697525000</v>
      </c>
      <c r="F431" s="162">
        <v>1408228414</v>
      </c>
      <c r="G431" s="162">
        <v>1408228414</v>
      </c>
      <c r="H431" s="162">
        <v>0</v>
      </c>
      <c r="I431" s="162">
        <v>2294107.35</v>
      </c>
      <c r="J431" s="162">
        <v>0</v>
      </c>
      <c r="K431" s="162">
        <v>1400943922.79</v>
      </c>
      <c r="L431" s="162">
        <v>1376935881.4400001</v>
      </c>
      <c r="M431" s="162">
        <v>4990383.8600000003</v>
      </c>
      <c r="N431" s="162">
        <v>4990383.8600000003</v>
      </c>
    </row>
    <row r="432" spans="1:14" s="161" customFormat="1" x14ac:dyDescent="0.25">
      <c r="A432" s="161" t="s">
        <v>558</v>
      </c>
      <c r="B432" s="161" t="s">
        <v>269</v>
      </c>
      <c r="C432" s="161" t="s">
        <v>270</v>
      </c>
      <c r="D432" s="161" t="s">
        <v>553</v>
      </c>
      <c r="E432" s="162">
        <v>350000000</v>
      </c>
      <c r="F432" s="162">
        <v>1060703414</v>
      </c>
      <c r="G432" s="162">
        <v>1060703414</v>
      </c>
      <c r="H432" s="162">
        <v>0</v>
      </c>
      <c r="I432" s="162">
        <v>2294107.35</v>
      </c>
      <c r="J432" s="162">
        <v>0</v>
      </c>
      <c r="K432" s="162">
        <v>1058409306.65</v>
      </c>
      <c r="L432" s="162">
        <v>1034401265.3</v>
      </c>
      <c r="M432" s="162">
        <v>0</v>
      </c>
      <c r="N432" s="162">
        <v>0</v>
      </c>
    </row>
    <row r="433" spans="1:14" s="161" customFormat="1" x14ac:dyDescent="0.25">
      <c r="A433" s="161" t="s">
        <v>558</v>
      </c>
      <c r="B433" s="161" t="s">
        <v>271</v>
      </c>
      <c r="C433" s="161" t="s">
        <v>272</v>
      </c>
      <c r="D433" s="161" t="s">
        <v>553</v>
      </c>
      <c r="E433" s="162">
        <v>347525000</v>
      </c>
      <c r="F433" s="162">
        <v>347525000</v>
      </c>
      <c r="G433" s="162">
        <v>347525000</v>
      </c>
      <c r="H433" s="162">
        <v>0</v>
      </c>
      <c r="I433" s="162">
        <v>0</v>
      </c>
      <c r="J433" s="162">
        <v>0</v>
      </c>
      <c r="K433" s="162">
        <v>342534616.13999999</v>
      </c>
      <c r="L433" s="162">
        <v>342534616.13999999</v>
      </c>
      <c r="M433" s="162">
        <v>4990383.8600000003</v>
      </c>
      <c r="N433" s="162">
        <v>4990383.8600000003</v>
      </c>
    </row>
    <row r="434" spans="1:14" s="161" customFormat="1" x14ac:dyDescent="0.25">
      <c r="A434" s="161" t="s">
        <v>558</v>
      </c>
      <c r="B434" s="161" t="s">
        <v>273</v>
      </c>
      <c r="C434" s="161" t="s">
        <v>274</v>
      </c>
      <c r="D434" s="161" t="s">
        <v>553</v>
      </c>
      <c r="E434" s="162">
        <v>103928000</v>
      </c>
      <c r="F434" s="162">
        <v>219550421.16999999</v>
      </c>
      <c r="G434" s="162">
        <v>219550421.16999999</v>
      </c>
      <c r="H434" s="162">
        <v>0</v>
      </c>
      <c r="I434" s="162">
        <v>43078687.030000001</v>
      </c>
      <c r="J434" s="162">
        <v>0</v>
      </c>
      <c r="K434" s="162">
        <v>55274916.43</v>
      </c>
      <c r="L434" s="162">
        <v>55161960.119999997</v>
      </c>
      <c r="M434" s="162">
        <v>121196817.70999999</v>
      </c>
      <c r="N434" s="162">
        <v>121196817.70999999</v>
      </c>
    </row>
    <row r="435" spans="1:14" s="161" customFormat="1" x14ac:dyDescent="0.25">
      <c r="A435" s="161" t="s">
        <v>558</v>
      </c>
      <c r="B435" s="161" t="s">
        <v>275</v>
      </c>
      <c r="C435" s="161" t="s">
        <v>276</v>
      </c>
      <c r="D435" s="161" t="s">
        <v>553</v>
      </c>
      <c r="E435" s="162">
        <v>98928000</v>
      </c>
      <c r="F435" s="162">
        <v>172708817.71000001</v>
      </c>
      <c r="G435" s="162">
        <v>172708817.71000001</v>
      </c>
      <c r="H435" s="162">
        <v>0</v>
      </c>
      <c r="I435" s="162">
        <v>29897166.530000001</v>
      </c>
      <c r="J435" s="162">
        <v>0</v>
      </c>
      <c r="K435" s="162">
        <v>21614833.469999999</v>
      </c>
      <c r="L435" s="162">
        <v>21614833.469999999</v>
      </c>
      <c r="M435" s="162">
        <v>121196817.70999999</v>
      </c>
      <c r="N435" s="162">
        <v>121196817.70999999</v>
      </c>
    </row>
    <row r="436" spans="1:14" s="161" customFormat="1" x14ac:dyDescent="0.25">
      <c r="A436" s="161" t="s">
        <v>558</v>
      </c>
      <c r="B436" s="161" t="s">
        <v>277</v>
      </c>
      <c r="C436" s="161" t="s">
        <v>278</v>
      </c>
      <c r="D436" s="161" t="s">
        <v>553</v>
      </c>
      <c r="E436" s="162">
        <v>5000000</v>
      </c>
      <c r="F436" s="162">
        <v>46841603.460000001</v>
      </c>
      <c r="G436" s="162">
        <v>46841603.460000001</v>
      </c>
      <c r="H436" s="162">
        <v>0</v>
      </c>
      <c r="I436" s="162">
        <v>13181520.5</v>
      </c>
      <c r="J436" s="162">
        <v>0</v>
      </c>
      <c r="K436" s="162">
        <v>33660082.960000001</v>
      </c>
      <c r="L436" s="162">
        <v>33547126.649999999</v>
      </c>
      <c r="M436" s="162">
        <v>0</v>
      </c>
      <c r="N436" s="162">
        <v>0</v>
      </c>
    </row>
    <row r="437" spans="1:14" s="161" customFormat="1" x14ac:dyDescent="0.25">
      <c r="A437" s="161" t="s">
        <v>558</v>
      </c>
      <c r="B437" s="161" t="s">
        <v>388</v>
      </c>
      <c r="C437" s="161" t="s">
        <v>389</v>
      </c>
      <c r="D437" s="161" t="s">
        <v>553</v>
      </c>
      <c r="E437" s="162">
        <v>1831900000</v>
      </c>
      <c r="F437" s="162">
        <v>4742400000</v>
      </c>
      <c r="G437" s="162">
        <v>4742400000</v>
      </c>
      <c r="H437" s="162">
        <v>0</v>
      </c>
      <c r="I437" s="162">
        <v>0</v>
      </c>
      <c r="J437" s="162">
        <v>0</v>
      </c>
      <c r="K437" s="162">
        <v>4742400000</v>
      </c>
      <c r="L437" s="162">
        <v>4742400000</v>
      </c>
      <c r="M437" s="162">
        <v>0</v>
      </c>
      <c r="N437" s="162">
        <v>0</v>
      </c>
    </row>
    <row r="438" spans="1:14" s="161" customFormat="1" x14ac:dyDescent="0.25">
      <c r="A438" s="161" t="s">
        <v>558</v>
      </c>
      <c r="B438" s="161" t="s">
        <v>390</v>
      </c>
      <c r="C438" s="161" t="s">
        <v>391</v>
      </c>
      <c r="D438" s="161" t="s">
        <v>553</v>
      </c>
      <c r="E438" s="162">
        <v>1831900000</v>
      </c>
      <c r="F438" s="162">
        <v>4742400000</v>
      </c>
      <c r="G438" s="162">
        <v>4742400000</v>
      </c>
      <c r="H438" s="162">
        <v>0</v>
      </c>
      <c r="I438" s="162">
        <v>0</v>
      </c>
      <c r="J438" s="162">
        <v>0</v>
      </c>
      <c r="K438" s="162">
        <v>4742400000</v>
      </c>
      <c r="L438" s="162">
        <v>4742400000</v>
      </c>
      <c r="M438" s="162">
        <v>0</v>
      </c>
      <c r="N438" s="162">
        <v>0</v>
      </c>
    </row>
    <row r="439" spans="1:14" s="161" customFormat="1" x14ac:dyDescent="0.25">
      <c r="A439" s="161" t="s">
        <v>558</v>
      </c>
      <c r="B439" s="161" t="s">
        <v>392</v>
      </c>
      <c r="C439" s="161" t="s">
        <v>393</v>
      </c>
      <c r="D439" s="161" t="s">
        <v>553</v>
      </c>
      <c r="E439" s="162">
        <v>0</v>
      </c>
      <c r="F439" s="162">
        <v>3200000000</v>
      </c>
      <c r="G439" s="162">
        <v>3200000000</v>
      </c>
      <c r="H439" s="162">
        <v>0</v>
      </c>
      <c r="I439" s="162">
        <v>0</v>
      </c>
      <c r="J439" s="162">
        <v>0</v>
      </c>
      <c r="K439" s="162">
        <v>3200000000</v>
      </c>
      <c r="L439" s="162">
        <v>3200000000</v>
      </c>
      <c r="M439" s="162">
        <v>0</v>
      </c>
      <c r="N439" s="162">
        <v>0</v>
      </c>
    </row>
    <row r="440" spans="1:14" s="161" customFormat="1" x14ac:dyDescent="0.25">
      <c r="A440" s="161" t="s">
        <v>558</v>
      </c>
      <c r="B440" s="161" t="s">
        <v>392</v>
      </c>
      <c r="C440" s="161" t="s">
        <v>393</v>
      </c>
      <c r="D440" s="161" t="s">
        <v>555</v>
      </c>
      <c r="E440" s="162">
        <v>1831900000</v>
      </c>
      <c r="F440" s="162">
        <v>1542400000</v>
      </c>
      <c r="G440" s="162">
        <v>1542400000</v>
      </c>
      <c r="H440" s="162">
        <v>0</v>
      </c>
      <c r="I440" s="162">
        <v>0</v>
      </c>
      <c r="J440" s="162">
        <v>0</v>
      </c>
      <c r="K440" s="162">
        <v>1542400000</v>
      </c>
      <c r="L440" s="162">
        <v>1542400000</v>
      </c>
      <c r="M440" s="162">
        <v>0</v>
      </c>
      <c r="N440" s="162">
        <v>0</v>
      </c>
    </row>
    <row r="441" spans="1:14" s="161" customFormat="1" x14ac:dyDescent="0.25">
      <c r="A441" s="161" t="s">
        <v>558</v>
      </c>
      <c r="B441" s="161" t="s">
        <v>589</v>
      </c>
      <c r="C441" s="161" t="s">
        <v>590</v>
      </c>
      <c r="D441" s="161" t="s">
        <v>553</v>
      </c>
      <c r="E441" s="162">
        <v>0</v>
      </c>
      <c r="F441" s="162">
        <v>150000000</v>
      </c>
      <c r="G441" s="162">
        <v>150000000</v>
      </c>
      <c r="H441" s="162">
        <v>0</v>
      </c>
      <c r="I441" s="162">
        <v>0</v>
      </c>
      <c r="J441" s="162">
        <v>0</v>
      </c>
      <c r="K441" s="162">
        <v>0</v>
      </c>
      <c r="L441" s="162">
        <v>0</v>
      </c>
      <c r="M441" s="162">
        <v>150000000</v>
      </c>
      <c r="N441" s="162">
        <v>150000000</v>
      </c>
    </row>
    <row r="442" spans="1:14" s="161" customFormat="1" x14ac:dyDescent="0.25">
      <c r="A442" s="161" t="s">
        <v>558</v>
      </c>
      <c r="B442" s="161" t="s">
        <v>587</v>
      </c>
      <c r="C442" s="161" t="s">
        <v>588</v>
      </c>
      <c r="D442" s="161" t="s">
        <v>553</v>
      </c>
      <c r="E442" s="162">
        <v>0</v>
      </c>
      <c r="F442" s="162">
        <v>150000000</v>
      </c>
      <c r="G442" s="162">
        <v>150000000</v>
      </c>
      <c r="H442" s="162">
        <v>0</v>
      </c>
      <c r="I442" s="162">
        <v>0</v>
      </c>
      <c r="J442" s="162">
        <v>0</v>
      </c>
      <c r="K442" s="162">
        <v>0</v>
      </c>
      <c r="L442" s="162">
        <v>0</v>
      </c>
      <c r="M442" s="162">
        <v>150000000</v>
      </c>
      <c r="N442" s="162">
        <v>150000000</v>
      </c>
    </row>
    <row r="443" spans="1:14" s="161" customFormat="1" x14ac:dyDescent="0.25">
      <c r="A443" s="161" t="s">
        <v>558</v>
      </c>
      <c r="B443" s="161" t="s">
        <v>585</v>
      </c>
      <c r="C443" s="161" t="s">
        <v>586</v>
      </c>
      <c r="D443" s="161" t="s">
        <v>553</v>
      </c>
      <c r="E443" s="162">
        <v>0</v>
      </c>
      <c r="F443" s="162">
        <v>150000000</v>
      </c>
      <c r="G443" s="162">
        <v>150000000</v>
      </c>
      <c r="H443" s="162">
        <v>0</v>
      </c>
      <c r="I443" s="162">
        <v>0</v>
      </c>
      <c r="J443" s="162">
        <v>0</v>
      </c>
      <c r="K443" s="162">
        <v>0</v>
      </c>
      <c r="L443" s="162">
        <v>0</v>
      </c>
      <c r="M443" s="162">
        <v>150000000</v>
      </c>
      <c r="N443" s="162">
        <v>150000000</v>
      </c>
    </row>
    <row r="444" spans="1:14" s="161" customFormat="1" x14ac:dyDescent="0.25">
      <c r="A444" s="161">
        <v>214784</v>
      </c>
      <c r="B444" s="161" t="s">
        <v>602</v>
      </c>
      <c r="C444" s="161" t="s">
        <v>602</v>
      </c>
      <c r="D444" s="161" t="s">
        <v>553</v>
      </c>
      <c r="E444" s="162">
        <v>14250716000</v>
      </c>
      <c r="F444" s="162">
        <v>13145300255</v>
      </c>
      <c r="G444" s="162">
        <v>13139325755</v>
      </c>
      <c r="H444" s="162">
        <v>0</v>
      </c>
      <c r="I444" s="162">
        <v>410517</v>
      </c>
      <c r="J444" s="162">
        <v>0</v>
      </c>
      <c r="K444" s="162">
        <v>12682816792.959999</v>
      </c>
      <c r="L444" s="162">
        <v>12641664266.43</v>
      </c>
      <c r="M444" s="162">
        <v>462072945.04000002</v>
      </c>
      <c r="N444" s="162">
        <v>456098445.04000002</v>
      </c>
    </row>
    <row r="445" spans="1:14" s="161" customFormat="1" x14ac:dyDescent="0.25">
      <c r="A445" s="161" t="s">
        <v>559</v>
      </c>
      <c r="B445" s="161" t="s">
        <v>92</v>
      </c>
      <c r="C445" s="161" t="s">
        <v>93</v>
      </c>
      <c r="D445" s="161" t="s">
        <v>553</v>
      </c>
      <c r="E445" s="162">
        <v>13872978000</v>
      </c>
      <c r="F445" s="162">
        <v>12670588605</v>
      </c>
      <c r="G445" s="162">
        <v>12664614105</v>
      </c>
      <c r="H445" s="162">
        <v>0</v>
      </c>
      <c r="I445" s="162">
        <v>0</v>
      </c>
      <c r="J445" s="162">
        <v>0</v>
      </c>
      <c r="K445" s="162">
        <v>12234522739.940001</v>
      </c>
      <c r="L445" s="162">
        <v>12234522739.940001</v>
      </c>
      <c r="M445" s="162">
        <v>436065865.06</v>
      </c>
      <c r="N445" s="162">
        <v>430091365.06</v>
      </c>
    </row>
    <row r="446" spans="1:14" s="161" customFormat="1" x14ac:dyDescent="0.25">
      <c r="A446" s="161" t="s">
        <v>559</v>
      </c>
      <c r="B446" s="161" t="s">
        <v>94</v>
      </c>
      <c r="C446" s="161" t="s">
        <v>95</v>
      </c>
      <c r="D446" s="161" t="s">
        <v>553</v>
      </c>
      <c r="E446" s="162">
        <v>4465420000</v>
      </c>
      <c r="F446" s="162">
        <v>4242755975</v>
      </c>
      <c r="G446" s="162">
        <v>4236781475</v>
      </c>
      <c r="H446" s="162">
        <v>0</v>
      </c>
      <c r="I446" s="162">
        <v>0</v>
      </c>
      <c r="J446" s="162">
        <v>0</v>
      </c>
      <c r="K446" s="162">
        <v>4031678545.79</v>
      </c>
      <c r="L446" s="162">
        <v>4031678545.79</v>
      </c>
      <c r="M446" s="162">
        <v>211077429.21000001</v>
      </c>
      <c r="N446" s="162">
        <v>205102929.21000001</v>
      </c>
    </row>
    <row r="447" spans="1:14" s="161" customFormat="1" x14ac:dyDescent="0.25">
      <c r="A447" s="161" t="s">
        <v>559</v>
      </c>
      <c r="B447" s="161" t="s">
        <v>96</v>
      </c>
      <c r="C447" s="161" t="s">
        <v>97</v>
      </c>
      <c r="D447" s="161" t="s">
        <v>553</v>
      </c>
      <c r="E447" s="162">
        <v>4465420000</v>
      </c>
      <c r="F447" s="162">
        <v>4242755975</v>
      </c>
      <c r="G447" s="162">
        <v>4236781475</v>
      </c>
      <c r="H447" s="162">
        <v>0</v>
      </c>
      <c r="I447" s="162">
        <v>0</v>
      </c>
      <c r="J447" s="162">
        <v>0</v>
      </c>
      <c r="K447" s="162">
        <v>4031678545.79</v>
      </c>
      <c r="L447" s="162">
        <v>4031678545.79</v>
      </c>
      <c r="M447" s="162">
        <v>211077429.21000001</v>
      </c>
      <c r="N447" s="162">
        <v>205102929.21000001</v>
      </c>
    </row>
    <row r="448" spans="1:14" s="161" customFormat="1" x14ac:dyDescent="0.25">
      <c r="A448" s="161" t="s">
        <v>559</v>
      </c>
      <c r="B448" s="161" t="s">
        <v>102</v>
      </c>
      <c r="C448" s="161" t="s">
        <v>103</v>
      </c>
      <c r="D448" s="161" t="s">
        <v>553</v>
      </c>
      <c r="E448" s="162">
        <v>7227654000</v>
      </c>
      <c r="F448" s="162">
        <v>6509654000</v>
      </c>
      <c r="G448" s="162">
        <v>6509654000</v>
      </c>
      <c r="H448" s="162">
        <v>0</v>
      </c>
      <c r="I448" s="162">
        <v>0</v>
      </c>
      <c r="J448" s="162">
        <v>0</v>
      </c>
      <c r="K448" s="162">
        <v>6345000769.3100004</v>
      </c>
      <c r="L448" s="162">
        <v>6345000769.3100004</v>
      </c>
      <c r="M448" s="162">
        <v>164653230.69</v>
      </c>
      <c r="N448" s="162">
        <v>164653230.69</v>
      </c>
    </row>
    <row r="449" spans="1:14" s="161" customFormat="1" x14ac:dyDescent="0.25">
      <c r="A449" s="161" t="s">
        <v>559</v>
      </c>
      <c r="B449" s="161" t="s">
        <v>104</v>
      </c>
      <c r="C449" s="161" t="s">
        <v>105</v>
      </c>
      <c r="D449" s="161" t="s">
        <v>553</v>
      </c>
      <c r="E449" s="162">
        <v>1545488000</v>
      </c>
      <c r="F449" s="162">
        <v>1352488000</v>
      </c>
      <c r="G449" s="162">
        <v>1352488000</v>
      </c>
      <c r="H449" s="162">
        <v>0</v>
      </c>
      <c r="I449" s="162">
        <v>0</v>
      </c>
      <c r="J449" s="162">
        <v>0</v>
      </c>
      <c r="K449" s="162">
        <v>1342596364.6600001</v>
      </c>
      <c r="L449" s="162">
        <v>1342596364.6600001</v>
      </c>
      <c r="M449" s="162">
        <v>9891635.3399999999</v>
      </c>
      <c r="N449" s="162">
        <v>9891635.3399999999</v>
      </c>
    </row>
    <row r="450" spans="1:14" s="161" customFormat="1" x14ac:dyDescent="0.25">
      <c r="A450" s="161" t="s">
        <v>559</v>
      </c>
      <c r="B450" s="161" t="s">
        <v>106</v>
      </c>
      <c r="C450" s="161" t="s">
        <v>107</v>
      </c>
      <c r="D450" s="161" t="s">
        <v>553</v>
      </c>
      <c r="E450" s="162">
        <v>2806395000</v>
      </c>
      <c r="F450" s="162">
        <v>2380895000</v>
      </c>
      <c r="G450" s="162">
        <v>2380895000</v>
      </c>
      <c r="H450" s="162">
        <v>0</v>
      </c>
      <c r="I450" s="162">
        <v>0</v>
      </c>
      <c r="J450" s="162">
        <v>0</v>
      </c>
      <c r="K450" s="162">
        <v>2345568227.0900002</v>
      </c>
      <c r="L450" s="162">
        <v>2345568227.0900002</v>
      </c>
      <c r="M450" s="162">
        <v>35326772.909999996</v>
      </c>
      <c r="N450" s="162">
        <v>35326772.909999996</v>
      </c>
    </row>
    <row r="451" spans="1:14" s="161" customFormat="1" x14ac:dyDescent="0.25">
      <c r="A451" s="161" t="s">
        <v>559</v>
      </c>
      <c r="B451" s="161" t="s">
        <v>108</v>
      </c>
      <c r="C451" s="161" t="s">
        <v>109</v>
      </c>
      <c r="D451" s="161" t="s">
        <v>553</v>
      </c>
      <c r="E451" s="162">
        <v>713716000</v>
      </c>
      <c r="F451" s="162">
        <v>721716000</v>
      </c>
      <c r="G451" s="162">
        <v>721716000</v>
      </c>
      <c r="H451" s="162">
        <v>0</v>
      </c>
      <c r="I451" s="162">
        <v>0</v>
      </c>
      <c r="J451" s="162">
        <v>0</v>
      </c>
      <c r="K451" s="162">
        <v>718026069.89999998</v>
      </c>
      <c r="L451" s="162">
        <v>718026069.89999998</v>
      </c>
      <c r="M451" s="162">
        <v>3689930.1</v>
      </c>
      <c r="N451" s="162">
        <v>3689930.1</v>
      </c>
    </row>
    <row r="452" spans="1:14" s="161" customFormat="1" x14ac:dyDescent="0.25">
      <c r="A452" s="161" t="s">
        <v>559</v>
      </c>
      <c r="B452" s="161" t="s">
        <v>110</v>
      </c>
      <c r="C452" s="161" t="s">
        <v>111</v>
      </c>
      <c r="D452" s="161" t="s">
        <v>553</v>
      </c>
      <c r="E452" s="162">
        <v>1280679000</v>
      </c>
      <c r="F452" s="162">
        <v>1173179000</v>
      </c>
      <c r="G452" s="162">
        <v>1173179000</v>
      </c>
      <c r="H452" s="162">
        <v>0</v>
      </c>
      <c r="I452" s="162">
        <v>0</v>
      </c>
      <c r="J452" s="162">
        <v>0</v>
      </c>
      <c r="K452" s="162">
        <v>1131713811.5</v>
      </c>
      <c r="L452" s="162">
        <v>1131713811.5</v>
      </c>
      <c r="M452" s="162">
        <v>41465188.5</v>
      </c>
      <c r="N452" s="162">
        <v>41465188.5</v>
      </c>
    </row>
    <row r="453" spans="1:14" s="161" customFormat="1" x14ac:dyDescent="0.25">
      <c r="A453" s="161" t="s">
        <v>559</v>
      </c>
      <c r="B453" s="161" t="s">
        <v>112</v>
      </c>
      <c r="C453" s="161" t="s">
        <v>113</v>
      </c>
      <c r="D453" s="161" t="s">
        <v>555</v>
      </c>
      <c r="E453" s="162">
        <v>881376000</v>
      </c>
      <c r="F453" s="162">
        <v>881376000</v>
      </c>
      <c r="G453" s="162">
        <v>881376000</v>
      </c>
      <c r="H453" s="162">
        <v>0</v>
      </c>
      <c r="I453" s="162">
        <v>0</v>
      </c>
      <c r="J453" s="162">
        <v>0</v>
      </c>
      <c r="K453" s="162">
        <v>807096296.15999997</v>
      </c>
      <c r="L453" s="162">
        <v>807096296.15999997</v>
      </c>
      <c r="M453" s="162">
        <v>74279703.840000004</v>
      </c>
      <c r="N453" s="162">
        <v>74279703.840000004</v>
      </c>
    </row>
    <row r="454" spans="1:14" s="161" customFormat="1" x14ac:dyDescent="0.25">
      <c r="A454" s="161" t="s">
        <v>559</v>
      </c>
      <c r="B454" s="161" t="s">
        <v>114</v>
      </c>
      <c r="C454" s="161" t="s">
        <v>115</v>
      </c>
      <c r="D454" s="161" t="s">
        <v>553</v>
      </c>
      <c r="E454" s="162">
        <v>1054142000</v>
      </c>
      <c r="F454" s="162">
        <v>964497800</v>
      </c>
      <c r="G454" s="162">
        <v>964497800</v>
      </c>
      <c r="H454" s="162">
        <v>0</v>
      </c>
      <c r="I454" s="162">
        <v>0</v>
      </c>
      <c r="J454" s="162">
        <v>0</v>
      </c>
      <c r="K454" s="162">
        <v>931408728</v>
      </c>
      <c r="L454" s="162">
        <v>931408728</v>
      </c>
      <c r="M454" s="162">
        <v>33089072</v>
      </c>
      <c r="N454" s="162">
        <v>33089072</v>
      </c>
    </row>
    <row r="455" spans="1:14" s="161" customFormat="1" x14ac:dyDescent="0.25">
      <c r="A455" s="161" t="s">
        <v>559</v>
      </c>
      <c r="B455" s="161" t="s">
        <v>394</v>
      </c>
      <c r="C455" s="161" t="s">
        <v>578</v>
      </c>
      <c r="D455" s="161" t="s">
        <v>553</v>
      </c>
      <c r="E455" s="162">
        <v>1000083000</v>
      </c>
      <c r="F455" s="162">
        <v>915035940</v>
      </c>
      <c r="G455" s="162">
        <v>915035940</v>
      </c>
      <c r="H455" s="162">
        <v>0</v>
      </c>
      <c r="I455" s="162">
        <v>0</v>
      </c>
      <c r="J455" s="162">
        <v>0</v>
      </c>
      <c r="K455" s="162">
        <v>883646633</v>
      </c>
      <c r="L455" s="162">
        <v>883646633</v>
      </c>
      <c r="M455" s="162">
        <v>31389307</v>
      </c>
      <c r="N455" s="162">
        <v>31389307</v>
      </c>
    </row>
    <row r="456" spans="1:14" s="161" customFormat="1" x14ac:dyDescent="0.25">
      <c r="A456" s="161" t="s">
        <v>559</v>
      </c>
      <c r="B456" s="161" t="s">
        <v>395</v>
      </c>
      <c r="C456" s="161" t="s">
        <v>596</v>
      </c>
      <c r="D456" s="161" t="s">
        <v>553</v>
      </c>
      <c r="E456" s="162">
        <v>54059000</v>
      </c>
      <c r="F456" s="162">
        <v>49461860</v>
      </c>
      <c r="G456" s="162">
        <v>49461860</v>
      </c>
      <c r="H456" s="162">
        <v>0</v>
      </c>
      <c r="I456" s="162">
        <v>0</v>
      </c>
      <c r="J456" s="162">
        <v>0</v>
      </c>
      <c r="K456" s="162">
        <v>47762095</v>
      </c>
      <c r="L456" s="162">
        <v>47762095</v>
      </c>
      <c r="M456" s="162">
        <v>1699765</v>
      </c>
      <c r="N456" s="162">
        <v>1699765</v>
      </c>
    </row>
    <row r="457" spans="1:14" s="161" customFormat="1" x14ac:dyDescent="0.25">
      <c r="A457" s="161" t="s">
        <v>559</v>
      </c>
      <c r="B457" s="161" t="s">
        <v>118</v>
      </c>
      <c r="C457" s="161" t="s">
        <v>119</v>
      </c>
      <c r="D457" s="161" t="s">
        <v>553</v>
      </c>
      <c r="E457" s="162">
        <v>1125762000</v>
      </c>
      <c r="F457" s="162">
        <v>953680830</v>
      </c>
      <c r="G457" s="162">
        <v>953680830</v>
      </c>
      <c r="H457" s="162">
        <v>0</v>
      </c>
      <c r="I457" s="162">
        <v>0</v>
      </c>
      <c r="J457" s="162">
        <v>0</v>
      </c>
      <c r="K457" s="162">
        <v>926434696.84000003</v>
      </c>
      <c r="L457" s="162">
        <v>926434696.84000003</v>
      </c>
      <c r="M457" s="162">
        <v>27246133.16</v>
      </c>
      <c r="N457" s="162">
        <v>27246133.16</v>
      </c>
    </row>
    <row r="458" spans="1:14" s="161" customFormat="1" x14ac:dyDescent="0.25">
      <c r="A458" s="161" t="s">
        <v>559</v>
      </c>
      <c r="B458" s="161" t="s">
        <v>396</v>
      </c>
      <c r="C458" s="161" t="s">
        <v>121</v>
      </c>
      <c r="D458" s="161" t="s">
        <v>553</v>
      </c>
      <c r="E458" s="162">
        <v>549235000</v>
      </c>
      <c r="F458" s="162">
        <v>417528070</v>
      </c>
      <c r="G458" s="162">
        <v>417528070</v>
      </c>
      <c r="H458" s="162">
        <v>0</v>
      </c>
      <c r="I458" s="162">
        <v>0</v>
      </c>
      <c r="J458" s="162">
        <v>0</v>
      </c>
      <c r="K458" s="162">
        <v>406365038</v>
      </c>
      <c r="L458" s="162">
        <v>406365038</v>
      </c>
      <c r="M458" s="162">
        <v>11163032</v>
      </c>
      <c r="N458" s="162">
        <v>11163032</v>
      </c>
    </row>
    <row r="459" spans="1:14" s="161" customFormat="1" x14ac:dyDescent="0.25">
      <c r="A459" s="161" t="s">
        <v>559</v>
      </c>
      <c r="B459" s="161" t="s">
        <v>397</v>
      </c>
      <c r="C459" s="161" t="s">
        <v>123</v>
      </c>
      <c r="D459" s="161" t="s">
        <v>553</v>
      </c>
      <c r="E459" s="162">
        <v>162176000</v>
      </c>
      <c r="F459" s="162">
        <v>148384590</v>
      </c>
      <c r="G459" s="162">
        <v>148384590</v>
      </c>
      <c r="H459" s="162">
        <v>0</v>
      </c>
      <c r="I459" s="162">
        <v>0</v>
      </c>
      <c r="J459" s="162">
        <v>0</v>
      </c>
      <c r="K459" s="162">
        <v>143286324</v>
      </c>
      <c r="L459" s="162">
        <v>143286324</v>
      </c>
      <c r="M459" s="162">
        <v>5098266</v>
      </c>
      <c r="N459" s="162">
        <v>5098266</v>
      </c>
    </row>
    <row r="460" spans="1:14" x14ac:dyDescent="0.25">
      <c r="A460" s="161" t="s">
        <v>559</v>
      </c>
      <c r="B460" s="161" t="s">
        <v>398</v>
      </c>
      <c r="C460" s="161" t="s">
        <v>125</v>
      </c>
      <c r="D460" s="161" t="s">
        <v>553</v>
      </c>
      <c r="E460" s="162">
        <v>324351000</v>
      </c>
      <c r="F460" s="162">
        <v>296768170</v>
      </c>
      <c r="G460" s="162">
        <v>296768170</v>
      </c>
      <c r="H460" s="162">
        <v>0</v>
      </c>
      <c r="I460" s="162">
        <v>0</v>
      </c>
      <c r="J460" s="162">
        <v>0</v>
      </c>
      <c r="K460" s="162">
        <v>286572616</v>
      </c>
      <c r="L460" s="162">
        <v>286572616</v>
      </c>
      <c r="M460" s="162">
        <v>10195554</v>
      </c>
      <c r="N460" s="162">
        <v>10195554</v>
      </c>
    </row>
    <row r="461" spans="1:14" x14ac:dyDescent="0.25">
      <c r="A461" s="161" t="s">
        <v>559</v>
      </c>
      <c r="B461" s="161" t="s">
        <v>399</v>
      </c>
      <c r="C461" s="161" t="s">
        <v>400</v>
      </c>
      <c r="D461" s="161" t="s">
        <v>553</v>
      </c>
      <c r="E461" s="162">
        <v>90000000</v>
      </c>
      <c r="F461" s="162">
        <v>91000000</v>
      </c>
      <c r="G461" s="162">
        <v>91000000</v>
      </c>
      <c r="H461" s="162">
        <v>0</v>
      </c>
      <c r="I461" s="162">
        <v>0</v>
      </c>
      <c r="J461" s="162">
        <v>0</v>
      </c>
      <c r="K461" s="162">
        <v>90210718.840000004</v>
      </c>
      <c r="L461" s="162">
        <v>90210718.840000004</v>
      </c>
      <c r="M461" s="162">
        <v>789281.16</v>
      </c>
      <c r="N461" s="162">
        <v>789281.16</v>
      </c>
    </row>
    <row r="462" spans="1:14" x14ac:dyDescent="0.25">
      <c r="A462" s="161" t="s">
        <v>559</v>
      </c>
      <c r="B462" s="161" t="s">
        <v>126</v>
      </c>
      <c r="C462" s="161" t="s">
        <v>127</v>
      </c>
      <c r="D462" s="161" t="s">
        <v>553</v>
      </c>
      <c r="E462" s="162">
        <v>37000000</v>
      </c>
      <c r="F462" s="162">
        <v>39000000</v>
      </c>
      <c r="G462" s="162">
        <v>39000000</v>
      </c>
      <c r="H462" s="162">
        <v>0</v>
      </c>
      <c r="I462" s="162">
        <v>410517</v>
      </c>
      <c r="J462" s="162">
        <v>0</v>
      </c>
      <c r="K462" s="162">
        <v>38589483</v>
      </c>
      <c r="L462" s="162">
        <v>38589483</v>
      </c>
      <c r="M462" s="162">
        <v>0</v>
      </c>
      <c r="N462" s="162">
        <v>0</v>
      </c>
    </row>
    <row r="463" spans="1:14" x14ac:dyDescent="0.25">
      <c r="A463" s="161" t="s">
        <v>559</v>
      </c>
      <c r="B463" s="161" t="s">
        <v>171</v>
      </c>
      <c r="C463" s="161" t="s">
        <v>172</v>
      </c>
      <c r="D463" s="161" t="s">
        <v>553</v>
      </c>
      <c r="E463" s="162">
        <v>37000000</v>
      </c>
      <c r="F463" s="162">
        <v>39000000</v>
      </c>
      <c r="G463" s="162">
        <v>39000000</v>
      </c>
      <c r="H463" s="162">
        <v>0</v>
      </c>
      <c r="I463" s="162">
        <v>410517</v>
      </c>
      <c r="J463" s="162">
        <v>0</v>
      </c>
      <c r="K463" s="162">
        <v>38589483</v>
      </c>
      <c r="L463" s="162">
        <v>38589483</v>
      </c>
      <c r="M463" s="162">
        <v>0</v>
      </c>
      <c r="N463" s="162">
        <v>0</v>
      </c>
    </row>
    <row r="464" spans="1:14" x14ac:dyDescent="0.25">
      <c r="A464" s="161" t="s">
        <v>559</v>
      </c>
      <c r="B464" s="161" t="s">
        <v>173</v>
      </c>
      <c r="C464" s="161" t="s">
        <v>174</v>
      </c>
      <c r="D464" s="161" t="s">
        <v>553</v>
      </c>
      <c r="E464" s="162">
        <v>37000000</v>
      </c>
      <c r="F464" s="162">
        <v>39000000</v>
      </c>
      <c r="G464" s="162">
        <v>39000000</v>
      </c>
      <c r="H464" s="162">
        <v>0</v>
      </c>
      <c r="I464" s="162">
        <v>410517</v>
      </c>
      <c r="J464" s="162">
        <v>0</v>
      </c>
      <c r="K464" s="162">
        <v>38589483</v>
      </c>
      <c r="L464" s="162">
        <v>38589483</v>
      </c>
      <c r="M464" s="162">
        <v>0</v>
      </c>
      <c r="N464" s="162">
        <v>0</v>
      </c>
    </row>
    <row r="465" spans="1:14" x14ac:dyDescent="0.25">
      <c r="A465" s="161" t="s">
        <v>559</v>
      </c>
      <c r="B465" s="161" t="s">
        <v>255</v>
      </c>
      <c r="C465" s="161" t="s">
        <v>256</v>
      </c>
      <c r="D465" s="161" t="s">
        <v>553</v>
      </c>
      <c r="E465" s="162">
        <v>340738000</v>
      </c>
      <c r="F465" s="162">
        <v>435711650</v>
      </c>
      <c r="G465" s="162">
        <v>435711650</v>
      </c>
      <c r="H465" s="162">
        <v>0</v>
      </c>
      <c r="I465" s="162">
        <v>0</v>
      </c>
      <c r="J465" s="162">
        <v>0</v>
      </c>
      <c r="K465" s="162">
        <v>409704570.01999998</v>
      </c>
      <c r="L465" s="162">
        <v>368552043.49000001</v>
      </c>
      <c r="M465" s="162">
        <v>26007079.98</v>
      </c>
      <c r="N465" s="162">
        <v>26007079.98</v>
      </c>
    </row>
    <row r="466" spans="1:14" x14ac:dyDescent="0.25">
      <c r="A466" s="161" t="s">
        <v>559</v>
      </c>
      <c r="B466" s="161" t="s">
        <v>257</v>
      </c>
      <c r="C466" s="161" t="s">
        <v>258</v>
      </c>
      <c r="D466" s="161" t="s">
        <v>553</v>
      </c>
      <c r="E466" s="162">
        <v>89738000</v>
      </c>
      <c r="F466" s="162">
        <v>82106750</v>
      </c>
      <c r="G466" s="162">
        <v>82106750</v>
      </c>
      <c r="H466" s="162">
        <v>0</v>
      </c>
      <c r="I466" s="162">
        <v>0</v>
      </c>
      <c r="J466" s="162">
        <v>0</v>
      </c>
      <c r="K466" s="162">
        <v>79285067.909999996</v>
      </c>
      <c r="L466" s="162">
        <v>79285067.909999996</v>
      </c>
      <c r="M466" s="162">
        <v>2821682.09</v>
      </c>
      <c r="N466" s="162">
        <v>2821682.09</v>
      </c>
    </row>
    <row r="467" spans="1:14" x14ac:dyDescent="0.25">
      <c r="A467" s="161" t="s">
        <v>559</v>
      </c>
      <c r="B467" s="161" t="s">
        <v>401</v>
      </c>
      <c r="C467" s="161" t="s">
        <v>264</v>
      </c>
      <c r="D467" s="161" t="s">
        <v>553</v>
      </c>
      <c r="E467" s="162">
        <v>62708000</v>
      </c>
      <c r="F467" s="162">
        <v>57375320</v>
      </c>
      <c r="G467" s="162">
        <v>57375320</v>
      </c>
      <c r="H467" s="162">
        <v>0</v>
      </c>
      <c r="I467" s="162">
        <v>0</v>
      </c>
      <c r="J467" s="162">
        <v>0</v>
      </c>
      <c r="K467" s="162">
        <v>55404023.350000001</v>
      </c>
      <c r="L467" s="162">
        <v>55404023.350000001</v>
      </c>
      <c r="M467" s="162">
        <v>1971296.65</v>
      </c>
      <c r="N467" s="162">
        <v>1971296.65</v>
      </c>
    </row>
    <row r="468" spans="1:14" x14ac:dyDescent="0.25">
      <c r="A468" s="161" t="s">
        <v>559</v>
      </c>
      <c r="B468" s="161" t="s">
        <v>402</v>
      </c>
      <c r="C468" s="161" t="s">
        <v>266</v>
      </c>
      <c r="D468" s="161" t="s">
        <v>553</v>
      </c>
      <c r="E468" s="162">
        <v>27030000</v>
      </c>
      <c r="F468" s="162">
        <v>24731430</v>
      </c>
      <c r="G468" s="162">
        <v>24731430</v>
      </c>
      <c r="H468" s="162">
        <v>0</v>
      </c>
      <c r="I468" s="162">
        <v>0</v>
      </c>
      <c r="J468" s="162">
        <v>0</v>
      </c>
      <c r="K468" s="162">
        <v>23881044.559999999</v>
      </c>
      <c r="L468" s="162">
        <v>23881044.559999999</v>
      </c>
      <c r="M468" s="162">
        <v>850385.44</v>
      </c>
      <c r="N468" s="162">
        <v>850385.44</v>
      </c>
    </row>
    <row r="469" spans="1:14" x14ac:dyDescent="0.25">
      <c r="A469" s="161" t="s">
        <v>559</v>
      </c>
      <c r="B469" s="161" t="s">
        <v>267</v>
      </c>
      <c r="C469" s="161" t="s">
        <v>268</v>
      </c>
      <c r="D469" s="161" t="s">
        <v>553</v>
      </c>
      <c r="E469" s="162">
        <v>235000000</v>
      </c>
      <c r="F469" s="162">
        <v>311293800</v>
      </c>
      <c r="G469" s="162">
        <v>311293800</v>
      </c>
      <c r="H469" s="162">
        <v>0</v>
      </c>
      <c r="I469" s="162">
        <v>0</v>
      </c>
      <c r="J469" s="162">
        <v>0</v>
      </c>
      <c r="K469" s="162">
        <v>307535579.14999998</v>
      </c>
      <c r="L469" s="162">
        <v>266383052.62</v>
      </c>
      <c r="M469" s="162">
        <v>3758220.85</v>
      </c>
      <c r="N469" s="162">
        <v>3758220.85</v>
      </c>
    </row>
    <row r="470" spans="1:14" x14ac:dyDescent="0.25">
      <c r="A470" s="161" t="s">
        <v>559</v>
      </c>
      <c r="B470" s="161" t="s">
        <v>269</v>
      </c>
      <c r="C470" s="161" t="s">
        <v>270</v>
      </c>
      <c r="D470" s="161" t="s">
        <v>553</v>
      </c>
      <c r="E470" s="162">
        <v>170000000</v>
      </c>
      <c r="F470" s="162">
        <v>255025500</v>
      </c>
      <c r="G470" s="162">
        <v>255025500</v>
      </c>
      <c r="H470" s="162">
        <v>0</v>
      </c>
      <c r="I470" s="162">
        <v>0</v>
      </c>
      <c r="J470" s="162">
        <v>0</v>
      </c>
      <c r="K470" s="162">
        <v>251928569.37</v>
      </c>
      <c r="L470" s="162">
        <v>210776042.84</v>
      </c>
      <c r="M470" s="162">
        <v>3096930.63</v>
      </c>
      <c r="N470" s="162">
        <v>3096930.63</v>
      </c>
    </row>
    <row r="471" spans="1:14" x14ac:dyDescent="0.25">
      <c r="A471" s="161" t="s">
        <v>559</v>
      </c>
      <c r="B471" s="161" t="s">
        <v>271</v>
      </c>
      <c r="C471" s="161" t="s">
        <v>272</v>
      </c>
      <c r="D471" s="161" t="s">
        <v>553</v>
      </c>
      <c r="E471" s="162">
        <v>65000000</v>
      </c>
      <c r="F471" s="162">
        <v>56268300</v>
      </c>
      <c r="G471" s="162">
        <v>56268300</v>
      </c>
      <c r="H471" s="162">
        <v>0</v>
      </c>
      <c r="I471" s="162">
        <v>0</v>
      </c>
      <c r="J471" s="162">
        <v>0</v>
      </c>
      <c r="K471" s="162">
        <v>55607009.780000001</v>
      </c>
      <c r="L471" s="162">
        <v>55607009.780000001</v>
      </c>
      <c r="M471" s="162">
        <v>661290.22</v>
      </c>
      <c r="N471" s="162">
        <v>661290.22</v>
      </c>
    </row>
    <row r="472" spans="1:14" x14ac:dyDescent="0.25">
      <c r="A472" s="161" t="s">
        <v>559</v>
      </c>
      <c r="B472" s="161" t="s">
        <v>273</v>
      </c>
      <c r="C472" s="161" t="s">
        <v>274</v>
      </c>
      <c r="D472" s="161" t="s">
        <v>553</v>
      </c>
      <c r="E472" s="162">
        <v>16000000</v>
      </c>
      <c r="F472" s="162">
        <v>42311100</v>
      </c>
      <c r="G472" s="162">
        <v>42311100</v>
      </c>
      <c r="H472" s="162">
        <v>0</v>
      </c>
      <c r="I472" s="162">
        <v>0</v>
      </c>
      <c r="J472" s="162">
        <v>0</v>
      </c>
      <c r="K472" s="162">
        <v>22883922.960000001</v>
      </c>
      <c r="L472" s="162">
        <v>22883922.960000001</v>
      </c>
      <c r="M472" s="162">
        <v>19427177.039999999</v>
      </c>
      <c r="N472" s="162">
        <v>19427177.039999999</v>
      </c>
    </row>
    <row r="473" spans="1:14" x14ac:dyDescent="0.25">
      <c r="A473" s="161" t="s">
        <v>559</v>
      </c>
      <c r="B473" s="161" t="s">
        <v>275</v>
      </c>
      <c r="C473" s="161" t="s">
        <v>276</v>
      </c>
      <c r="D473" s="161" t="s">
        <v>553</v>
      </c>
      <c r="E473" s="162">
        <v>7000000</v>
      </c>
      <c r="F473" s="162">
        <v>16561100</v>
      </c>
      <c r="G473" s="162">
        <v>16561100</v>
      </c>
      <c r="H473" s="162">
        <v>0</v>
      </c>
      <c r="I473" s="162">
        <v>0</v>
      </c>
      <c r="J473" s="162">
        <v>0</v>
      </c>
      <c r="K473" s="162">
        <v>6680937.0700000003</v>
      </c>
      <c r="L473" s="162">
        <v>6680937.0700000003</v>
      </c>
      <c r="M473" s="162">
        <v>9880162.9299999997</v>
      </c>
      <c r="N473" s="162">
        <v>9880162.9299999997</v>
      </c>
    </row>
    <row r="474" spans="1:14" x14ac:dyDescent="0.25">
      <c r="A474" s="161" t="s">
        <v>559</v>
      </c>
      <c r="B474" s="161" t="s">
        <v>277</v>
      </c>
      <c r="C474" s="161" t="s">
        <v>278</v>
      </c>
      <c r="D474" s="161" t="s">
        <v>553</v>
      </c>
      <c r="E474" s="162">
        <v>9000000</v>
      </c>
      <c r="F474" s="162">
        <v>25750000</v>
      </c>
      <c r="G474" s="162">
        <v>25750000</v>
      </c>
      <c r="H474" s="162">
        <v>0</v>
      </c>
      <c r="I474" s="162">
        <v>0</v>
      </c>
      <c r="J474" s="162">
        <v>0</v>
      </c>
      <c r="K474" s="162">
        <v>16202985.890000001</v>
      </c>
      <c r="L474" s="162">
        <v>16202985.890000001</v>
      </c>
      <c r="M474" s="162">
        <v>9547014.1099999994</v>
      </c>
      <c r="N474" s="162">
        <v>9547014.1099999994</v>
      </c>
    </row>
    <row r="475" spans="1:14" x14ac:dyDescent="0.25">
      <c r="A475" s="163" t="s">
        <v>602</v>
      </c>
      <c r="B475" s="163" t="s">
        <v>602</v>
      </c>
      <c r="C475" s="163" t="s">
        <v>602</v>
      </c>
      <c r="D475" s="163" t="s">
        <v>602</v>
      </c>
      <c r="E475" s="164">
        <v>691419513450</v>
      </c>
      <c r="F475" s="164">
        <v>671511094915</v>
      </c>
      <c r="G475" s="164">
        <v>671481222410</v>
      </c>
      <c r="H475" s="164">
        <v>0</v>
      </c>
      <c r="I475" s="164">
        <v>19700146288.599998</v>
      </c>
      <c r="J475" s="164">
        <v>0</v>
      </c>
      <c r="K475" s="164">
        <v>619212582828.34998</v>
      </c>
      <c r="L475" s="164">
        <v>594284734335.09998</v>
      </c>
      <c r="M475" s="164">
        <v>32598365798.049999</v>
      </c>
      <c r="N475" s="164">
        <v>32568493293.049999</v>
      </c>
    </row>
  </sheetData>
  <conditionalFormatting sqref="K2:K480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opLeftCell="C136" zoomScale="82" zoomScaleNormal="82" workbookViewId="0">
      <selection activeCell="C154" sqref="C154:C155"/>
    </sheetView>
  </sheetViews>
  <sheetFormatPr baseColWidth="10" defaultRowHeight="15" x14ac:dyDescent="0.25"/>
  <cols>
    <col min="2" max="2" width="20.42578125" customWidth="1"/>
    <col min="3" max="3" width="36.85546875" bestFit="1" customWidth="1"/>
    <col min="4" max="4" width="21" bestFit="1" customWidth="1"/>
    <col min="5" max="5" width="23.140625" bestFit="1" customWidth="1"/>
    <col min="6" max="6" width="17.140625" bestFit="1" customWidth="1"/>
    <col min="7" max="7" width="18.28515625" bestFit="1" customWidth="1"/>
    <col min="8" max="8" width="18.28515625" hidden="1" customWidth="1"/>
    <col min="9" max="9" width="18.28515625" bestFit="1" customWidth="1"/>
    <col min="10" max="10" width="18.28515625" customWidth="1"/>
    <col min="11" max="11" width="28.140625" bestFit="1" customWidth="1"/>
  </cols>
  <sheetData>
    <row r="1" spans="1:13" ht="18" thickBot="1" x14ac:dyDescent="0.3">
      <c r="C1" s="189" t="s">
        <v>0</v>
      </c>
      <c r="D1" s="191" t="s">
        <v>549</v>
      </c>
      <c r="E1" s="185" t="s">
        <v>2</v>
      </c>
      <c r="F1" s="185" t="s">
        <v>3</v>
      </c>
      <c r="G1" s="193" t="s">
        <v>4</v>
      </c>
      <c r="H1" s="194"/>
      <c r="I1" s="195"/>
      <c r="J1" s="196" t="s">
        <v>547</v>
      </c>
      <c r="K1" s="185" t="s">
        <v>6</v>
      </c>
      <c r="L1" s="185" t="s">
        <v>7</v>
      </c>
      <c r="M1" s="187" t="s">
        <v>8</v>
      </c>
    </row>
    <row r="2" spans="1:13" ht="17.25" x14ac:dyDescent="0.25">
      <c r="C2" s="190"/>
      <c r="D2" s="192"/>
      <c r="E2" s="186"/>
      <c r="F2" s="186"/>
      <c r="G2" s="6" t="s">
        <v>43</v>
      </c>
      <c r="H2" s="6" t="s">
        <v>31</v>
      </c>
      <c r="I2" s="7" t="s">
        <v>33</v>
      </c>
      <c r="J2" s="197"/>
      <c r="K2" s="186"/>
      <c r="L2" s="186"/>
      <c r="M2" s="188"/>
    </row>
    <row r="3" spans="1:13" s="23" customFormat="1" ht="17.25" x14ac:dyDescent="0.25">
      <c r="A3" s="108"/>
      <c r="B3" s="109" t="str">
        <f>+Estado!A11</f>
        <v>E-0</v>
      </c>
      <c r="C3" s="106" t="str">
        <f>IFERROR(VLOOKUP(B3,Estado!$A$9:$B$505,2,FALSE),0)</f>
        <v>REMUNERACIONES</v>
      </c>
      <c r="D3" s="22">
        <f>+D4+D8+D12+D18+D21+D26</f>
        <v>89646093488</v>
      </c>
      <c r="E3" s="22">
        <f t="shared" ref="E3:K3" si="0">+E4+E8+E12+E18+E21+E26</f>
        <v>89640118987</v>
      </c>
      <c r="F3" s="22">
        <f t="shared" si="0"/>
        <v>0</v>
      </c>
      <c r="G3" s="22">
        <f t="shared" si="0"/>
        <v>0</v>
      </c>
      <c r="H3" s="22">
        <f t="shared" si="0"/>
        <v>0</v>
      </c>
      <c r="I3" s="22">
        <f t="shared" si="0"/>
        <v>85726976935.610001</v>
      </c>
      <c r="J3" s="22">
        <f>+J4+J8+J12+J18+J21+J26</f>
        <v>85726976935.610001</v>
      </c>
      <c r="K3" s="22">
        <f t="shared" si="0"/>
        <v>3919116552.3899999</v>
      </c>
      <c r="L3" s="67">
        <f>+IFERROR(SUM(G3:I3)/D3,0)</f>
        <v>0.95628234985036342</v>
      </c>
      <c r="M3" s="67">
        <f>+IFERROR(+K3/D3,0)</f>
        <v>4.3717650149636599E-2</v>
      </c>
    </row>
    <row r="4" spans="1:13" s="24" customFormat="1" ht="16.5" x14ac:dyDescent="0.25">
      <c r="A4" s="110"/>
      <c r="B4" s="107" t="str">
        <f>+Estado!A12</f>
        <v>E-001</v>
      </c>
      <c r="C4" s="105" t="str">
        <f>IFERROR(VLOOKUP(B4,Estado!$A$9:$B$505,2,FALSE),0)</f>
        <v>REMUNERACIONES BASIC</v>
      </c>
      <c r="D4" s="16">
        <f>SUMIF(Estado!$A$9:$A$368,$B4,Estado!$C$9:$C$368)</f>
        <v>32281521474</v>
      </c>
      <c r="E4" s="16">
        <f>SUMIF(Estado!$A$9:$A$368,$B4,Estado!$D$9:$D$368)</f>
        <v>32275546973</v>
      </c>
      <c r="F4" s="16">
        <f>SUMIF(Estado!$A$9:$A$368,$B4,Estado!$E$9:$E$368)</f>
        <v>0</v>
      </c>
      <c r="G4" s="16">
        <f>SUMIF(Estado!$A$9:$A$368,$B4,Estado!$G$9:$G$368)</f>
        <v>0</v>
      </c>
      <c r="H4" s="16">
        <f>SUMIF(Estado!$A$9:$A$368,$B4,Estado!$I$9:$I$368)</f>
        <v>0</v>
      </c>
      <c r="I4" s="16">
        <f>SUMIF(Estado!$A$9:$A$368,$B4,Estado!$K$9:$K$368)</f>
        <v>30423507179.060001</v>
      </c>
      <c r="J4" s="16">
        <f>SUM(G4:I4)</f>
        <v>30423507179.060001</v>
      </c>
      <c r="K4" s="16">
        <f>SUMIF(Estado!$A$9:$A$368,$B4,Estado!$O$9:$O$368)</f>
        <v>1858014294.9400001</v>
      </c>
      <c r="L4" s="50">
        <f t="shared" ref="L4:L68" si="1">+IFERROR(SUM(G4:I4)/D4,0)</f>
        <v>0.94244341003454657</v>
      </c>
      <c r="M4" s="50">
        <f t="shared" ref="M4:M68" si="2">+IFERROR(+K4/D4,0)</f>
        <v>5.75565899654535E-2</v>
      </c>
    </row>
    <row r="5" spans="1:13" s="24" customFormat="1" ht="16.5" x14ac:dyDescent="0.25">
      <c r="A5" s="110"/>
      <c r="B5" s="107" t="str">
        <f>+Estado!A13</f>
        <v>E-00101</v>
      </c>
      <c r="C5" s="105" t="str">
        <f>IFERROR(VLOOKUP(B5,Estado!$A$9:$B$505,2,FALSE),0)</f>
        <v>SUELDOS P/ C. FIJOS</v>
      </c>
      <c r="D5" s="16">
        <f>SUMIF(Estado!$A$9:$A$368,$B5,Estado!$C$9:$C$368)</f>
        <v>32065860264</v>
      </c>
      <c r="E5" s="16">
        <f>SUMIF(Estado!$A$9:$A$368,$B5,Estado!$D$9:$D$368)</f>
        <v>32059885763</v>
      </c>
      <c r="F5" s="16">
        <f>SUMIF(Estado!$A$9:$A$368,$B5,Estado!$E$9:$E$368)</f>
        <v>0</v>
      </c>
      <c r="G5" s="16">
        <f>SUMIF(Estado!$A$9:$A$368,$B5,Estado!$G$9:$G$368)</f>
        <v>0</v>
      </c>
      <c r="H5" s="16">
        <f>SUMIF(Estado!$A$9:$A$368,$B5,Estado!$I$9:$I$368)</f>
        <v>0</v>
      </c>
      <c r="I5" s="16">
        <f>SUMIF(Estado!$A$9:$A$368,$B5,Estado!$K$9:$K$368)</f>
        <v>30256945184.060001</v>
      </c>
      <c r="J5" s="16">
        <f t="shared" ref="J5:J69" si="3">SUM(G5:I5)</f>
        <v>30256945184.060001</v>
      </c>
      <c r="K5" s="16">
        <f>SUMIF(Estado!$A$9:$A$368,$B5,Estado!$O$9:$O$368)</f>
        <v>1808915079.9400001</v>
      </c>
      <c r="L5" s="50">
        <f t="shared" si="1"/>
        <v>0.94358750817701131</v>
      </c>
      <c r="M5" s="50">
        <f t="shared" si="2"/>
        <v>5.6412491822988756E-2</v>
      </c>
    </row>
    <row r="6" spans="1:13" s="24" customFormat="1" ht="16.5" x14ac:dyDescent="0.25">
      <c r="A6" s="110"/>
      <c r="B6" s="107" t="str">
        <f>+Estado!A14</f>
        <v>E-00103</v>
      </c>
      <c r="C6" s="105" t="str">
        <f>IFERROR(VLOOKUP(B6,Estado!$A$9:$B$505,2,FALSE),0)</f>
        <v>SERVICIOS ESPECIALES</v>
      </c>
      <c r="D6" s="16">
        <f>SUMIF(Estado!$A$9:$A$368,$B6,Estado!$C$9:$C$368)</f>
        <v>213161210</v>
      </c>
      <c r="E6" s="16">
        <f>SUMIF(Estado!$A$9:$A$368,$B6,Estado!$D$9:$D$368)</f>
        <v>213161210</v>
      </c>
      <c r="F6" s="16">
        <f>SUMIF(Estado!$A$9:$A$368,$B6,Estado!$E$9:$E$368)</f>
        <v>0</v>
      </c>
      <c r="G6" s="16">
        <f>SUMIF(Estado!$A$9:$A$368,$B6,Estado!$G$9:$G$368)</f>
        <v>0</v>
      </c>
      <c r="H6" s="16">
        <f>SUMIF(Estado!$A$9:$A$368,$B6,Estado!$I$9:$I$368)</f>
        <v>0</v>
      </c>
      <c r="I6" s="16">
        <f>SUMIF(Estado!$A$9:$A$368,$B6,Estado!$K$9:$K$368)</f>
        <v>166561995</v>
      </c>
      <c r="J6" s="16">
        <f t="shared" si="3"/>
        <v>166561995</v>
      </c>
      <c r="K6" s="16">
        <f>SUMIF(Estado!$A$9:$A$368,$B6,Estado!$O$9:$O$368)</f>
        <v>46599215</v>
      </c>
      <c r="L6" s="50">
        <f t="shared" si="1"/>
        <v>0.78138979882878312</v>
      </c>
      <c r="M6" s="50">
        <f t="shared" si="2"/>
        <v>0.21861020117121685</v>
      </c>
    </row>
    <row r="7" spans="1:13" s="24" customFormat="1" ht="16.5" x14ac:dyDescent="0.25">
      <c r="A7" s="110"/>
      <c r="B7" s="107" t="str">
        <f>+Estado!A15</f>
        <v>E-00105</v>
      </c>
      <c r="C7" s="105" t="str">
        <f>IFERROR(VLOOKUP(B7,Estado!$A$9:$B$505,2,FALSE),0)</f>
        <v>SUPLENCIAS</v>
      </c>
      <c r="D7" s="16">
        <f>SUMIF(Estado!$A$9:$A$368,$B7,Estado!$C$9:$C$368)</f>
        <v>2500000</v>
      </c>
      <c r="E7" s="16">
        <f>SUMIF(Estado!$A$9:$A$368,$B7,Estado!$D$9:$D$368)</f>
        <v>2500000</v>
      </c>
      <c r="F7" s="16">
        <f>SUMIF(Estado!$A$9:$A$368,$B7,Estado!$E$9:$E$368)</f>
        <v>0</v>
      </c>
      <c r="G7" s="16">
        <f>SUMIF(Estado!$A$9:$A$368,$B7,Estado!$G$9:$G$368)</f>
        <v>0</v>
      </c>
      <c r="H7" s="16">
        <f>SUMIF(Estado!$A$9:$A$368,$B7,Estado!$I$9:$I$368)</f>
        <v>0</v>
      </c>
      <c r="I7" s="16">
        <f>SUMIF(Estado!$A$9:$A$368,$B7,Estado!$K$9:$K$368)</f>
        <v>0</v>
      </c>
      <c r="J7" s="16">
        <f t="shared" si="3"/>
        <v>0</v>
      </c>
      <c r="K7" s="16">
        <f>SUMIF(Estado!$A$9:$A$368,$B7,Estado!$O$9:$O$368)</f>
        <v>2500000</v>
      </c>
      <c r="L7" s="50">
        <f t="shared" si="1"/>
        <v>0</v>
      </c>
      <c r="M7" s="50">
        <f t="shared" si="2"/>
        <v>1</v>
      </c>
    </row>
    <row r="8" spans="1:13" s="24" customFormat="1" ht="16.5" x14ac:dyDescent="0.25">
      <c r="A8" s="110"/>
      <c r="B8" s="107" t="str">
        <f>+Estado!A16</f>
        <v>E-002</v>
      </c>
      <c r="C8" s="105" t="str">
        <f>IFERROR(VLOOKUP(B8,Estado!$A$9:$B$505,2,FALSE),0)</f>
        <v>REMUNERACIONES EVENT</v>
      </c>
      <c r="D8" s="16">
        <f>SUMIF(Estado!$A$9:$A$368,$B8,Estado!$C$9:$C$368)</f>
        <v>3645387667</v>
      </c>
      <c r="E8" s="16">
        <f>SUMIF(Estado!$A$9:$A$368,$B8,Estado!$D$9:$D$368)</f>
        <v>3645387667</v>
      </c>
      <c r="F8" s="16">
        <f>SUMIF(Estado!$A$9:$A$368,$B8,Estado!$E$9:$E$368)</f>
        <v>0</v>
      </c>
      <c r="G8" s="16">
        <f>SUMIF(Estado!$A$9:$A$368,$B8,Estado!$G$9:$G$368)</f>
        <v>0</v>
      </c>
      <c r="H8" s="16">
        <f>SUMIF(Estado!$A$9:$A$368,$B8,Estado!$I$9:$I$368)</f>
        <v>0</v>
      </c>
      <c r="I8" s="16">
        <f>SUMIF(Estado!$A$9:$A$368,$B8,Estado!$K$9:$K$368)</f>
        <v>3566698072.5300002</v>
      </c>
      <c r="J8" s="16">
        <f t="shared" si="3"/>
        <v>3566698072.5300002</v>
      </c>
      <c r="K8" s="16">
        <f>SUMIF(Estado!$A$9:$A$368,$B8,Estado!$O$9:$O$368)</f>
        <v>78689594.469999999</v>
      </c>
      <c r="L8" s="50">
        <f t="shared" si="1"/>
        <v>0.97841392969468233</v>
      </c>
      <c r="M8" s="50">
        <f t="shared" si="2"/>
        <v>2.158607030531768E-2</v>
      </c>
    </row>
    <row r="9" spans="1:13" s="24" customFormat="1" ht="16.5" x14ac:dyDescent="0.25">
      <c r="A9" s="110"/>
      <c r="B9" s="107" t="str">
        <f>+Estado!A17</f>
        <v>E-00201</v>
      </c>
      <c r="C9" s="105" t="str">
        <f>IFERROR(VLOOKUP(B9,Estado!$A$9:$B$505,2,FALSE),0)</f>
        <v>TIEMPO EXTRAORD.</v>
      </c>
      <c r="D9" s="16">
        <f>SUMIF(Estado!$A$9:$A$368,$B9,Estado!$C$9:$C$368)</f>
        <v>18953667</v>
      </c>
      <c r="E9" s="16">
        <f>SUMIF(Estado!$A$9:$A$368,$B9,Estado!$D$9:$D$368)</f>
        <v>18953667</v>
      </c>
      <c r="F9" s="16">
        <f>SUMIF(Estado!$A$9:$A$368,$B9,Estado!$E$9:$E$368)</f>
        <v>0</v>
      </c>
      <c r="G9" s="16">
        <f>SUMIF(Estado!$A$9:$A$368,$B9,Estado!$G$9:$G$368)</f>
        <v>0</v>
      </c>
      <c r="H9" s="16">
        <f>SUMIF(Estado!$A$9:$A$368,$B9,Estado!$I$9:$I$368)</f>
        <v>0</v>
      </c>
      <c r="I9" s="16">
        <f>SUMIF(Estado!$A$9:$A$368,$B9,Estado!$K$9:$K$368)</f>
        <v>16847992.399999999</v>
      </c>
      <c r="J9" s="16">
        <f t="shared" si="3"/>
        <v>16847992.399999999</v>
      </c>
      <c r="K9" s="16">
        <f>SUMIF(Estado!$A$9:$A$368,$B9,Estado!$O$9:$O$368)</f>
        <v>2105674.6</v>
      </c>
      <c r="L9" s="50">
        <f t="shared" si="1"/>
        <v>0.8889041049418035</v>
      </c>
      <c r="M9" s="50">
        <f t="shared" si="2"/>
        <v>0.11109589505819639</v>
      </c>
    </row>
    <row r="10" spans="1:13" s="24" customFormat="1" ht="16.5" x14ac:dyDescent="0.25">
      <c r="A10" s="110"/>
      <c r="B10" s="107" t="str">
        <f>+Estado!A18</f>
        <v>E-00202</v>
      </c>
      <c r="C10" s="105" t="str">
        <f>IFERROR(VLOOKUP(B10,Estado!$A$9:$B$505,2,FALSE),0)</f>
        <v>RECARGO DE FUNCIONES</v>
      </c>
      <c r="D10" s="16">
        <f>SUMIF(Estado!$A$9:$A$368,$B10,Estado!$C$9:$C$368)</f>
        <v>15000000</v>
      </c>
      <c r="E10" s="16">
        <f>SUMIF(Estado!$A$9:$A$368,$B10,Estado!$D$9:$D$368)</f>
        <v>15000000</v>
      </c>
      <c r="F10" s="16">
        <f>SUMIF(Estado!$A$9:$A$368,$B10,Estado!$E$9:$E$368)</f>
        <v>0</v>
      </c>
      <c r="G10" s="16">
        <f>SUMIF(Estado!$A$9:$A$368,$B10,Estado!$G$9:$G$368)</f>
        <v>0</v>
      </c>
      <c r="H10" s="16">
        <f>SUMIF(Estado!$A$9:$A$368,$B10,Estado!$I$9:$I$368)</f>
        <v>0</v>
      </c>
      <c r="I10" s="16">
        <f>SUMIF(Estado!$A$9:$A$368,$B10,Estado!$K$9:$K$368)</f>
        <v>12613806.5</v>
      </c>
      <c r="J10" s="16">
        <f t="shared" si="3"/>
        <v>12613806.5</v>
      </c>
      <c r="K10" s="16">
        <f>SUMIF(Estado!$A$9:$A$368,$B10,Estado!$O$9:$O$368)</f>
        <v>2386193.5</v>
      </c>
      <c r="L10" s="50">
        <f t="shared" si="1"/>
        <v>0.84092043333333333</v>
      </c>
      <c r="M10" s="50">
        <f t="shared" si="2"/>
        <v>0.15907956666666667</v>
      </c>
    </row>
    <row r="11" spans="1:13" s="24" customFormat="1" ht="16.5" x14ac:dyDescent="0.25">
      <c r="A11" s="110"/>
      <c r="B11" s="107" t="str">
        <f>+Estado!A19</f>
        <v>E-00203</v>
      </c>
      <c r="C11" s="105" t="str">
        <f>IFERROR(VLOOKUP(B11,Estado!$A$9:$B$505,2,FALSE),0)</f>
        <v>DISPONIBILIDAD LAB.</v>
      </c>
      <c r="D11" s="16">
        <f>SUMIF(Estado!$A$9:$A$368,$B11,Estado!$C$9:$C$368)</f>
        <v>3611434000</v>
      </c>
      <c r="E11" s="16">
        <f>SUMIF(Estado!$A$9:$A$368,$B11,Estado!$D$9:$D$368)</f>
        <v>3611434000</v>
      </c>
      <c r="F11" s="16">
        <f>SUMIF(Estado!$A$9:$A$368,$B11,Estado!$E$9:$E$368)</f>
        <v>0</v>
      </c>
      <c r="G11" s="16">
        <f>SUMIF(Estado!$A$9:$A$368,$B11,Estado!$G$9:$G$368)</f>
        <v>0</v>
      </c>
      <c r="H11" s="16">
        <f>SUMIF(Estado!$A$9:$A$368,$B11,Estado!$I$9:$I$368)</f>
        <v>0</v>
      </c>
      <c r="I11" s="16">
        <f>SUMIF(Estado!$A$9:$A$368,$B11,Estado!$K$9:$K$368)</f>
        <v>3537236273.6300001</v>
      </c>
      <c r="J11" s="16">
        <f t="shared" si="3"/>
        <v>3537236273.6300001</v>
      </c>
      <c r="K11" s="16">
        <f>SUMIF(Estado!$A$9:$A$368,$B11,Estado!$O$9:$O$368)</f>
        <v>74197726.370000005</v>
      </c>
      <c r="L11" s="50">
        <f t="shared" si="1"/>
        <v>0.97945477437217465</v>
      </c>
      <c r="M11" s="50">
        <f t="shared" si="2"/>
        <v>2.0545225627825403E-2</v>
      </c>
    </row>
    <row r="12" spans="1:13" s="24" customFormat="1" ht="16.5" x14ac:dyDescent="0.25">
      <c r="A12" s="110"/>
      <c r="B12" s="107" t="str">
        <f>+Estado!A20</f>
        <v>E-003</v>
      </c>
      <c r="C12" s="105" t="str">
        <f>IFERROR(VLOOKUP(B12,Estado!$A$9:$B$505,2,FALSE),0)</f>
        <v>INCENTIVOS SALARIAL</v>
      </c>
      <c r="D12" s="16">
        <f>SUMIF(Estado!$A$9:$A$368,$B12,Estado!$C$9:$C$368)</f>
        <v>40068946019</v>
      </c>
      <c r="E12" s="16">
        <f>SUMIF(Estado!$A$9:$A$368,$B12,Estado!$D$9:$D$368)</f>
        <v>40068946019</v>
      </c>
      <c r="F12" s="16">
        <f>SUMIF(Estado!$A$9:$A$368,$B12,Estado!$E$9:$E$368)</f>
        <v>0</v>
      </c>
      <c r="G12" s="16">
        <f>SUMIF(Estado!$A$9:$A$368,$B12,Estado!$G$9:$G$368)</f>
        <v>0</v>
      </c>
      <c r="H12" s="16">
        <f>SUMIF(Estado!$A$9:$A$368,$B12,Estado!$I$9:$I$368)</f>
        <v>0</v>
      </c>
      <c r="I12" s="16">
        <f>SUMIF(Estado!$A$9:$A$368,$B12,Estado!$K$9:$K$368)</f>
        <v>38783403496.18</v>
      </c>
      <c r="J12" s="16">
        <f t="shared" si="3"/>
        <v>38783403496.18</v>
      </c>
      <c r="K12" s="16">
        <f>SUMIF(Estado!$A$9:$A$368,$B12,Estado!$O$9:$O$368)</f>
        <v>1285542522.8199999</v>
      </c>
      <c r="L12" s="50">
        <f t="shared" si="1"/>
        <v>0.96791673726056038</v>
      </c>
      <c r="M12" s="50">
        <f t="shared" si="2"/>
        <v>3.2083262739439615E-2</v>
      </c>
    </row>
    <row r="13" spans="1:13" s="24" customFormat="1" ht="16.5" x14ac:dyDescent="0.25">
      <c r="A13" s="110"/>
      <c r="B13" s="107" t="str">
        <f>+Estado!A21</f>
        <v>E-00301</v>
      </c>
      <c r="C13" s="105" t="str">
        <f>IFERROR(VLOOKUP(B13,Estado!$A$9:$B$505,2,FALSE),0)</f>
        <v>RETRIB AÑOS SERVIDOS</v>
      </c>
      <c r="D13" s="16">
        <f>SUMIF(Estado!$A$9:$A$368,$B13,Estado!$C$9:$C$368)</f>
        <v>11699468775</v>
      </c>
      <c r="E13" s="16">
        <f>SUMIF(Estado!$A$9:$A$368,$B13,Estado!$D$9:$D$368)</f>
        <v>11699468775</v>
      </c>
      <c r="F13" s="16">
        <f>SUMIF(Estado!$A$9:$A$368,$B13,Estado!$E$9:$E$368)</f>
        <v>0</v>
      </c>
      <c r="G13" s="16">
        <f>SUMIF(Estado!$A$9:$A$368,$B13,Estado!$G$9:$G$368)</f>
        <v>0</v>
      </c>
      <c r="H13" s="16">
        <f>SUMIF(Estado!$A$9:$A$368,$B13,Estado!$I$9:$I$368)</f>
        <v>0</v>
      </c>
      <c r="I13" s="16">
        <f>SUMIF(Estado!$A$9:$A$368,$B13,Estado!$K$9:$K$368)</f>
        <v>11280984112.76</v>
      </c>
      <c r="J13" s="16">
        <f t="shared" si="3"/>
        <v>11280984112.76</v>
      </c>
      <c r="K13" s="16">
        <f>SUMIF(Estado!$A$9:$A$368,$B13,Estado!$O$9:$O$368)</f>
        <v>418484662.24000001</v>
      </c>
      <c r="L13" s="50">
        <f t="shared" si="1"/>
        <v>0.96423045607555802</v>
      </c>
      <c r="M13" s="50">
        <f t="shared" si="2"/>
        <v>3.5769543924441989E-2</v>
      </c>
    </row>
    <row r="14" spans="1:13" s="24" customFormat="1" ht="16.5" x14ac:dyDescent="0.25">
      <c r="A14" s="110"/>
      <c r="B14" s="107" t="str">
        <f>+Estado!A22</f>
        <v>E-00302</v>
      </c>
      <c r="C14" s="105" t="str">
        <f>IFERROR(VLOOKUP(B14,Estado!$A$9:$B$505,2,FALSE),0)</f>
        <v>REST. EJERC LIB PROF</v>
      </c>
      <c r="D14" s="16">
        <f>SUMIF(Estado!$A$9:$A$368,$B14,Estado!$C$9:$C$368)</f>
        <v>8077517267</v>
      </c>
      <c r="E14" s="16">
        <f>SUMIF(Estado!$A$9:$A$368,$B14,Estado!$D$9:$D$368)</f>
        <v>8077517267</v>
      </c>
      <c r="F14" s="16">
        <f>SUMIF(Estado!$A$9:$A$368,$B14,Estado!$E$9:$E$368)</f>
        <v>0</v>
      </c>
      <c r="G14" s="16">
        <f>SUMIF(Estado!$A$9:$A$368,$B14,Estado!$G$9:$G$368)</f>
        <v>0</v>
      </c>
      <c r="H14" s="16">
        <f>SUMIF(Estado!$A$9:$A$368,$B14,Estado!$I$9:$I$368)</f>
        <v>0</v>
      </c>
      <c r="I14" s="16">
        <f>SUMIF(Estado!$A$9:$A$368,$B14,Estado!$K$9:$K$368)</f>
        <v>7770879159.3299999</v>
      </c>
      <c r="J14" s="16">
        <f t="shared" si="3"/>
        <v>7770879159.3299999</v>
      </c>
      <c r="K14" s="16">
        <f>SUMIF(Estado!$A$9:$A$368,$B14,Estado!$O$9:$O$368)</f>
        <v>306638107.66999996</v>
      </c>
      <c r="L14" s="50">
        <f t="shared" si="1"/>
        <v>0.96203807462934887</v>
      </c>
      <c r="M14" s="50">
        <f t="shared" si="2"/>
        <v>3.7961925370651142E-2</v>
      </c>
    </row>
    <row r="15" spans="1:13" s="24" customFormat="1" ht="16.5" x14ac:dyDescent="0.25">
      <c r="A15" s="110"/>
      <c r="B15" s="107" t="str">
        <f>+Estado!A23</f>
        <v>E-00303</v>
      </c>
      <c r="C15" s="105" t="str">
        <f>IFERROR(VLOOKUP(B15,Estado!$A$9:$B$505,2,FALSE),0)</f>
        <v>DECIMOTERCER MES</v>
      </c>
      <c r="D15" s="16">
        <f>SUMIF(Estado!$A$9:$A$368,$B15,Estado!$C$9:$C$368)</f>
        <v>5785022089</v>
      </c>
      <c r="E15" s="16">
        <f>SUMIF(Estado!$A$9:$A$368,$B15,Estado!$D$9:$D$368)</f>
        <v>5785022089</v>
      </c>
      <c r="F15" s="16">
        <f>SUMIF(Estado!$A$9:$A$368,$B15,Estado!$E$9:$E$368)</f>
        <v>0</v>
      </c>
      <c r="G15" s="16">
        <f>SUMIF(Estado!$A$9:$A$368,$B15,Estado!$G$9:$G$368)</f>
        <v>0</v>
      </c>
      <c r="H15" s="16">
        <f>SUMIF(Estado!$A$9:$A$368,$B15,Estado!$I$9:$I$368)</f>
        <v>0</v>
      </c>
      <c r="I15" s="16">
        <f>SUMIF(Estado!$A$9:$A$368,$B15,Estado!$K$9:$K$368)</f>
        <v>5619225735.7799997</v>
      </c>
      <c r="J15" s="16">
        <f t="shared" si="3"/>
        <v>5619225735.7799997</v>
      </c>
      <c r="K15" s="16">
        <f>SUMIF(Estado!$A$9:$A$368,$B15,Estado!$O$9:$O$368)</f>
        <v>165796353.22</v>
      </c>
      <c r="L15" s="50">
        <f t="shared" si="1"/>
        <v>0.97134041138144389</v>
      </c>
      <c r="M15" s="50">
        <f t="shared" si="2"/>
        <v>2.8659588618556095E-2</v>
      </c>
    </row>
    <row r="16" spans="1:13" s="24" customFormat="1" ht="16.5" x14ac:dyDescent="0.25">
      <c r="A16" s="110"/>
      <c r="B16" s="107" t="str">
        <f>+Estado!A24</f>
        <v>E-00304</v>
      </c>
      <c r="C16" s="105" t="str">
        <f>IFERROR(VLOOKUP(B16,Estado!$A$9:$B$505,2,FALSE),0)</f>
        <v>SALARIO ESCOLAR</v>
      </c>
      <c r="D16" s="16">
        <f>SUMIF(Estado!$A$9:$A$368,$B16,Estado!$C$9:$C$368)</f>
        <v>4943339000</v>
      </c>
      <c r="E16" s="16">
        <f>SUMIF(Estado!$A$9:$A$368,$B16,Estado!$D$9:$D$368)</f>
        <v>4943339000</v>
      </c>
      <c r="F16" s="16">
        <f>SUMIF(Estado!$A$9:$A$368,$B16,Estado!$E$9:$E$368)</f>
        <v>0</v>
      </c>
      <c r="G16" s="16">
        <f>SUMIF(Estado!$A$9:$A$368,$B16,Estado!$G$9:$G$368)</f>
        <v>0</v>
      </c>
      <c r="H16" s="16">
        <f>SUMIF(Estado!$A$9:$A$368,$B16,Estado!$I$9:$I$368)</f>
        <v>0</v>
      </c>
      <c r="I16" s="16">
        <f>SUMIF(Estado!$A$9:$A$368,$B16,Estado!$K$9:$K$368)</f>
        <v>4933675603.5199995</v>
      </c>
      <c r="J16" s="16">
        <f t="shared" si="3"/>
        <v>4933675603.5199995</v>
      </c>
      <c r="K16" s="16">
        <f>SUMIF(Estado!$A$9:$A$368,$B16,Estado!$O$9:$O$368)</f>
        <v>9663396.4799999986</v>
      </c>
      <c r="L16" s="50">
        <f t="shared" si="1"/>
        <v>0.99804516815860689</v>
      </c>
      <c r="M16" s="50">
        <f t="shared" si="2"/>
        <v>1.954831841393034E-3</v>
      </c>
    </row>
    <row r="17" spans="1:13" s="24" customFormat="1" ht="16.5" x14ac:dyDescent="0.25">
      <c r="A17" s="110"/>
      <c r="B17" s="107" t="str">
        <f>+Estado!A25</f>
        <v>E-00399</v>
      </c>
      <c r="C17" s="105" t="str">
        <f>IFERROR(VLOOKUP(B17,Estado!$A$9:$B$505,2,FALSE),0)</f>
        <v>OTROS INCENT SALAR.</v>
      </c>
      <c r="D17" s="16">
        <f>SUMIF(Estado!$A$9:$A$368,$B17,Estado!$C$9:$C$368)</f>
        <v>9563598888</v>
      </c>
      <c r="E17" s="16">
        <f>SUMIF(Estado!$A$9:$A$368,$B17,Estado!$D$9:$D$368)</f>
        <v>9563598888</v>
      </c>
      <c r="F17" s="16">
        <f>SUMIF(Estado!$A$9:$A$368,$B17,Estado!$E$9:$E$368)</f>
        <v>0</v>
      </c>
      <c r="G17" s="16">
        <f>SUMIF(Estado!$A$9:$A$368,$B17,Estado!$G$9:$G$368)</f>
        <v>0</v>
      </c>
      <c r="H17" s="16">
        <f>SUMIF(Estado!$A$9:$A$368,$B17,Estado!$I$9:$I$368)</f>
        <v>0</v>
      </c>
      <c r="I17" s="16">
        <f>SUMIF(Estado!$A$9:$A$368,$B17,Estado!$K$9:$K$368)</f>
        <v>9178638884.7900009</v>
      </c>
      <c r="J17" s="16">
        <f t="shared" si="3"/>
        <v>9178638884.7900009</v>
      </c>
      <c r="K17" s="16">
        <f>SUMIF(Estado!$A$9:$A$368,$B17,Estado!$O$9:$O$368)</f>
        <v>384960003.20999998</v>
      </c>
      <c r="L17" s="50">
        <f t="shared" si="1"/>
        <v>0.9597473704493158</v>
      </c>
      <c r="M17" s="50">
        <f t="shared" si="2"/>
        <v>4.0252629550684267E-2</v>
      </c>
    </row>
    <row r="18" spans="1:13" s="24" customFormat="1" ht="16.5" x14ac:dyDescent="0.25">
      <c r="A18" s="110"/>
      <c r="B18" s="107" t="str">
        <f>+Estado!A26</f>
        <v>E-004</v>
      </c>
      <c r="C18" s="105" t="str">
        <f>IFERROR(VLOOKUP(B18,Estado!$A$9:$B$505,2,FALSE),0)</f>
        <v>CONT PATR DESA S.SOC</v>
      </c>
      <c r="D18" s="16">
        <f>SUMIF(Estado!$A$9:$A$368,$B18,Estado!$C$9:$C$368)</f>
        <v>6887191746</v>
      </c>
      <c r="E18" s="16">
        <f>SUMIF(Estado!$A$9:$A$368,$B18,Estado!$D$9:$D$368)</f>
        <v>6887191746</v>
      </c>
      <c r="F18" s="16">
        <f>SUMIF(Estado!$A$9:$A$368,$B18,Estado!$E$9:$E$368)</f>
        <v>0</v>
      </c>
      <c r="G18" s="16">
        <f>SUMIF(Estado!$A$9:$A$368,$B18,Estado!$G$9:$G$368)</f>
        <v>0</v>
      </c>
      <c r="H18" s="16">
        <f>SUMIF(Estado!$A$9:$A$368,$B18,Estado!$I$9:$I$368)</f>
        <v>0</v>
      </c>
      <c r="I18" s="16">
        <f>SUMIF(Estado!$A$9:$A$368,$B18,Estado!$K$9:$K$368)</f>
        <v>6537809602</v>
      </c>
      <c r="J18" s="16">
        <f t="shared" si="3"/>
        <v>6537809602</v>
      </c>
      <c r="K18" s="16">
        <f>SUMIF(Estado!$A$9:$A$368,$B18,Estado!$O$9:$O$368)</f>
        <v>349382144</v>
      </c>
      <c r="L18" s="50">
        <f t="shared" si="1"/>
        <v>0.94927073952849983</v>
      </c>
      <c r="M18" s="50">
        <f t="shared" si="2"/>
        <v>5.0729260471500164E-2</v>
      </c>
    </row>
    <row r="19" spans="1:13" s="24" customFormat="1" ht="16.5" x14ac:dyDescent="0.25">
      <c r="A19" s="110"/>
      <c r="B19" s="107" t="str">
        <f>+Estado!A27</f>
        <v>E-00401</v>
      </c>
      <c r="C19" s="105" t="str">
        <f>IFERROR(VLOOKUP(B19,Estado!$A$9:$B$505,2,FALSE),0)</f>
        <v>CONT P.SEG.S C.C.S.S</v>
      </c>
      <c r="D19" s="16">
        <f>SUMIF(Estado!$A$9:$A$368,$B19,Estado!$C$9:$C$368)</f>
        <v>6534349303</v>
      </c>
      <c r="E19" s="16">
        <f>SUMIF(Estado!$A$9:$A$368,$B19,Estado!$D$9:$D$368)</f>
        <v>6534349303</v>
      </c>
      <c r="F19" s="16">
        <f>SUMIF(Estado!$A$9:$A$368,$B19,Estado!$E$9:$E$368)</f>
        <v>0</v>
      </c>
      <c r="G19" s="16">
        <f>SUMIF(Estado!$A$9:$A$368,$B19,Estado!$G$9:$G$368)</f>
        <v>0</v>
      </c>
      <c r="H19" s="16">
        <f>SUMIF(Estado!$A$9:$A$368,$B19,Estado!$I$9:$I$368)</f>
        <v>0</v>
      </c>
      <c r="I19" s="16">
        <f>SUMIF(Estado!$A$9:$A$368,$B19,Estado!$K$9:$K$368)</f>
        <v>6202557844</v>
      </c>
      <c r="J19" s="16">
        <f t="shared" si="3"/>
        <v>6202557844</v>
      </c>
      <c r="K19" s="16">
        <f>SUMIF(Estado!$A$9:$A$368,$B19,Estado!$O$9:$O$368)</f>
        <v>331791459</v>
      </c>
      <c r="L19" s="50">
        <f t="shared" si="1"/>
        <v>0.94922348904003795</v>
      </c>
      <c r="M19" s="50">
        <f t="shared" si="2"/>
        <v>5.0776510959962065E-2</v>
      </c>
    </row>
    <row r="20" spans="1:13" s="24" customFormat="1" ht="16.5" x14ac:dyDescent="0.25">
      <c r="A20" s="110"/>
      <c r="B20" s="107" t="str">
        <f>+Estado!A33</f>
        <v>E-00405</v>
      </c>
      <c r="C20" s="105" t="str">
        <f>IFERROR(VLOOKUP(B20,Estado!$A$9:$B$505,2,FALSE),0)</f>
        <v>CONTRIB PAT B.P.D.C.</v>
      </c>
      <c r="D20" s="16">
        <f>SUMIF(Estado!$A$9:$A$368,$B20,Estado!$C$9:$C$368)</f>
        <v>352842443</v>
      </c>
      <c r="E20" s="16">
        <f>SUMIF(Estado!$A$9:$A$368,$B20,Estado!$D$9:$D$368)</f>
        <v>352842443</v>
      </c>
      <c r="F20" s="16">
        <f>SUMIF(Estado!$A$9:$A$368,$B20,Estado!$E$9:$E$368)</f>
        <v>0</v>
      </c>
      <c r="G20" s="16">
        <f>SUMIF(Estado!$A$9:$A$368,$B20,Estado!$G$9:$G$368)</f>
        <v>0</v>
      </c>
      <c r="H20" s="16">
        <f>SUMIF(Estado!$A$9:$A$368,$B20,Estado!$I$9:$I$368)</f>
        <v>0</v>
      </c>
      <c r="I20" s="16">
        <f>SUMIF(Estado!$A$9:$A$368,$B20,Estado!$K$9:$K$368)</f>
        <v>335251758</v>
      </c>
      <c r="J20" s="16">
        <f t="shared" si="3"/>
        <v>335251758</v>
      </c>
      <c r="K20" s="16">
        <f>SUMIF(Estado!$A$9:$A$368,$B20,Estado!$O$9:$O$368)</f>
        <v>17590685</v>
      </c>
      <c r="L20" s="50">
        <f t="shared" si="1"/>
        <v>0.95014577937269296</v>
      </c>
      <c r="M20" s="50">
        <f t="shared" si="2"/>
        <v>4.9854220627307017E-2</v>
      </c>
    </row>
    <row r="21" spans="1:13" s="24" customFormat="1" ht="16.5" x14ac:dyDescent="0.25">
      <c r="A21" s="110"/>
      <c r="B21" s="107" t="str">
        <f>+Estado!A39</f>
        <v>E-005</v>
      </c>
      <c r="C21" s="105" t="str">
        <f>IFERROR(VLOOKUP(B21,Estado!$A$9:$B$505,2,FALSE),0)</f>
        <v>CONT PATR F.PENS OTR</v>
      </c>
      <c r="D21" s="16">
        <f>SUMIF(Estado!$A$9:$A$368,$B21,Estado!$C$9:$C$368)</f>
        <v>6763046582</v>
      </c>
      <c r="E21" s="16">
        <f>SUMIF(Estado!$A$9:$A$368,$B21,Estado!$D$9:$D$368)</f>
        <v>6763046582</v>
      </c>
      <c r="F21" s="16">
        <f>SUMIF(Estado!$A$9:$A$368,$B21,Estado!$E$9:$E$368)</f>
        <v>0</v>
      </c>
      <c r="G21" s="16">
        <f>SUMIF(Estado!$A$9:$A$368,$B21,Estado!$G$9:$G$368)</f>
        <v>0</v>
      </c>
      <c r="H21" s="16">
        <f>SUMIF(Estado!$A$9:$A$368,$B21,Estado!$I$9:$I$368)</f>
        <v>0</v>
      </c>
      <c r="I21" s="16">
        <f>SUMIF(Estado!$A$9:$A$368,$B21,Estado!$K$9:$K$368)</f>
        <v>6415558585.8400002</v>
      </c>
      <c r="J21" s="16">
        <f t="shared" si="3"/>
        <v>6415558585.8400002</v>
      </c>
      <c r="K21" s="16">
        <f>SUMIF(Estado!$A$9:$A$368,$B21,Estado!$O$9:$O$368)</f>
        <v>347487996.16000003</v>
      </c>
      <c r="L21" s="50">
        <f t="shared" si="1"/>
        <v>0.94861960627554354</v>
      </c>
      <c r="M21" s="50">
        <f t="shared" si="2"/>
        <v>5.1380393724456533E-2</v>
      </c>
    </row>
    <row r="22" spans="1:13" s="23" customFormat="1" ht="16.5" x14ac:dyDescent="0.25">
      <c r="A22" s="108"/>
      <c r="B22" s="107" t="str">
        <f>+Estado!A40</f>
        <v>E-00501</v>
      </c>
      <c r="C22" s="105" t="str">
        <f>IFERROR(VLOOKUP(B22,Estado!$A$9:$B$505,2,FALSE),0)</f>
        <v>CONT P.SPENS.C.C.S.S</v>
      </c>
      <c r="D22" s="16">
        <f>SUMIF(Estado!$A$9:$A$368,$B22,Estado!$C$9:$C$368)</f>
        <v>3498204785</v>
      </c>
      <c r="E22" s="16">
        <f>SUMIF(Estado!$A$9:$A$368,$B22,Estado!$D$9:$D$368)</f>
        <v>3498204785</v>
      </c>
      <c r="F22" s="16">
        <f>SUMIF(Estado!$A$9:$A$368,$B22,Estado!$E$9:$E$368)</f>
        <v>0</v>
      </c>
      <c r="G22" s="16">
        <f>SUMIF(Estado!$A$9:$A$368,$B22,Estado!$G$9:$G$368)</f>
        <v>0</v>
      </c>
      <c r="H22" s="16">
        <f>SUMIF(Estado!$A$9:$A$368,$B22,Estado!$I$9:$I$368)</f>
        <v>0</v>
      </c>
      <c r="I22" s="16">
        <f>SUMIF(Estado!$A$9:$A$368,$B22,Estado!$K$9:$K$368)</f>
        <v>3307789009</v>
      </c>
      <c r="J22" s="16">
        <f t="shared" ref="J22" si="4">SUM(G22:I22)</f>
        <v>3307789009</v>
      </c>
      <c r="K22" s="16">
        <f>SUMIF(Estado!$A$9:$A$368,$B22,Estado!$O$9:$O$368)</f>
        <v>190415776</v>
      </c>
      <c r="L22" s="50">
        <f t="shared" si="1"/>
        <v>0.9455675731688189</v>
      </c>
      <c r="M22" s="50">
        <f t="shared" si="2"/>
        <v>5.4432426831181067E-2</v>
      </c>
    </row>
    <row r="23" spans="1:13" s="24" customFormat="1" ht="16.5" x14ac:dyDescent="0.25">
      <c r="A23" s="110"/>
      <c r="B23" s="107" t="str">
        <f>+Estado!A46</f>
        <v>E-00502</v>
      </c>
      <c r="C23" s="105" t="str">
        <f>IFERROR(VLOOKUP(B23,Estado!$A$9:$B$505,2,FALSE),0)</f>
        <v>APORT P.RÉG.OBLI.P.C</v>
      </c>
      <c r="D23" s="16">
        <f>SUMIF(Estado!$A$9:$A$368,$B23,Estado!$C$9:$C$368)</f>
        <v>1058152235</v>
      </c>
      <c r="E23" s="16">
        <f>SUMIF(Estado!$A$9:$A$368,$B23,Estado!$D$9:$D$368)</f>
        <v>1058152235</v>
      </c>
      <c r="F23" s="16">
        <f>SUMIF(Estado!$A$9:$A$368,$B23,Estado!$E$9:$E$368)</f>
        <v>0</v>
      </c>
      <c r="G23" s="16">
        <f>SUMIF(Estado!$A$9:$A$368,$B23,Estado!$G$9:$G$368)</f>
        <v>0</v>
      </c>
      <c r="H23" s="16">
        <f>SUMIF(Estado!$A$9:$A$368,$B23,Estado!$I$9:$I$368)</f>
        <v>0</v>
      </c>
      <c r="I23" s="16">
        <f>SUMIF(Estado!$A$9:$A$368,$B23,Estado!$K$9:$K$368)</f>
        <v>1006048443</v>
      </c>
      <c r="J23" s="16">
        <f t="shared" si="3"/>
        <v>1006048443</v>
      </c>
      <c r="K23" s="16">
        <f>SUMIF(Estado!$A$9:$A$368,$B23,Estado!$O$9:$O$368)</f>
        <v>52103792</v>
      </c>
      <c r="L23" s="50">
        <f t="shared" si="1"/>
        <v>0.95075964471218077</v>
      </c>
      <c r="M23" s="50">
        <f t="shared" si="2"/>
        <v>4.924035528781924E-2</v>
      </c>
    </row>
    <row r="24" spans="1:13" s="24" customFormat="1" ht="16.5" x14ac:dyDescent="0.25">
      <c r="A24" s="110"/>
      <c r="B24" s="107" t="str">
        <f>+Estado!A52</f>
        <v>E-00503</v>
      </c>
      <c r="C24" s="105" t="str">
        <f>IFERROR(VLOOKUP(B24,Estado!$A$9:$B$505,2,FALSE),0)</f>
        <v>APORT P.FOND.CAP.LAB</v>
      </c>
      <c r="D24" s="16">
        <f>SUMIF(Estado!$A$9:$A$368,$B24,Estado!$C$9:$C$368)</f>
        <v>2115689562</v>
      </c>
      <c r="E24" s="16">
        <f>SUMIF(Estado!$A$9:$A$368,$B24,Estado!$D$9:$D$368)</f>
        <v>2115689562</v>
      </c>
      <c r="F24" s="16">
        <f>SUMIF(Estado!$A$9:$A$368,$B24,Estado!$E$9:$E$368)</f>
        <v>0</v>
      </c>
      <c r="G24" s="16">
        <f>SUMIF(Estado!$A$9:$A$368,$B24,Estado!$G$9:$G$368)</f>
        <v>0</v>
      </c>
      <c r="H24" s="16">
        <f>SUMIF(Estado!$A$9:$A$368,$B24,Estado!$I$9:$I$368)</f>
        <v>0</v>
      </c>
      <c r="I24" s="16">
        <f>SUMIF(Estado!$A$9:$A$368,$B24,Estado!$K$9:$K$368)</f>
        <v>2011510415</v>
      </c>
      <c r="J24" s="16">
        <f t="shared" si="3"/>
        <v>2011510415</v>
      </c>
      <c r="K24" s="16">
        <f>SUMIF(Estado!$A$9:$A$368,$B24,Estado!$O$9:$O$368)</f>
        <v>104179147</v>
      </c>
      <c r="L24" s="50">
        <f t="shared" si="1"/>
        <v>0.95075877441040191</v>
      </c>
      <c r="M24" s="50">
        <f t="shared" si="2"/>
        <v>4.9241225589598099E-2</v>
      </c>
    </row>
    <row r="25" spans="1:13" s="24" customFormat="1" ht="16.5" x14ac:dyDescent="0.25">
      <c r="A25" s="110"/>
      <c r="B25" s="107" t="str">
        <f>+Estado!A58</f>
        <v>E-00505</v>
      </c>
      <c r="C25" s="105" t="str">
        <f>IFERROR(VLOOKUP(B25,Estado!$A$9:$B$505,2,FALSE),0)</f>
        <v>CONT.PAT.A.F.A.EPRIV</v>
      </c>
      <c r="D25" s="16">
        <f>SUMIF(Estado!$A$9:$A$368,$B25,Estado!$C$9:$C$368)</f>
        <v>91000000</v>
      </c>
      <c r="E25" s="16">
        <f>SUMIF(Estado!$A$9:$A$368,$B25,Estado!$D$9:$D$368)</f>
        <v>91000000</v>
      </c>
      <c r="F25" s="16">
        <f>SUMIF(Estado!$A$9:$A$368,$B25,Estado!$E$9:$E$368)</f>
        <v>0</v>
      </c>
      <c r="G25" s="16">
        <f>SUMIF(Estado!$A$9:$A$368,$B25,Estado!$G$9:$G$368)</f>
        <v>0</v>
      </c>
      <c r="H25" s="16">
        <f>SUMIF(Estado!$A$9:$A$368,$B25,Estado!$I$9:$I$368)</f>
        <v>0</v>
      </c>
      <c r="I25" s="16">
        <f>SUMIF(Estado!$A$9:$A$368,$B25,Estado!$K$9:$K$368)</f>
        <v>90210718.840000004</v>
      </c>
      <c r="J25" s="16">
        <f t="shared" si="3"/>
        <v>90210718.840000004</v>
      </c>
      <c r="K25" s="16">
        <f>SUMIF(Estado!$A$9:$A$368,$B25,Estado!$O$9:$O$368)</f>
        <v>789281.16</v>
      </c>
      <c r="L25" s="50">
        <f t="shared" si="1"/>
        <v>0.99132658065934065</v>
      </c>
      <c r="M25" s="50">
        <f t="shared" si="2"/>
        <v>8.6734193406593409E-3</v>
      </c>
    </row>
    <row r="26" spans="1:13" s="24" customFormat="1" ht="16.5" x14ac:dyDescent="0.25">
      <c r="A26" s="110"/>
      <c r="B26" s="107" t="str">
        <f>+Estado!A60</f>
        <v>E-099</v>
      </c>
      <c r="C26" s="105" t="str">
        <f>IFERROR(VLOOKUP(B26,Estado!$A$9:$B$505,2,FALSE),0)</f>
        <v>REMUNERACIONES DIVER</v>
      </c>
      <c r="D26" s="16">
        <f>SUMIF(Estado!$A$9:$A$368,$B26,Estado!$C$9:$C$368)</f>
        <v>0</v>
      </c>
      <c r="E26" s="16">
        <f>SUMIF(Estado!$A$9:$A$368,$B26,Estado!$D$9:$D$368)</f>
        <v>0</v>
      </c>
      <c r="F26" s="16">
        <f>SUMIF(Estado!$A$9:$A$368,$B26,Estado!$E$9:$E$368)</f>
        <v>0</v>
      </c>
      <c r="G26" s="16">
        <f>SUMIF(Estado!$A$9:$A$368,$B26,Estado!$G$9:$G$368)</f>
        <v>0</v>
      </c>
      <c r="H26" s="16">
        <f>SUMIF(Estado!$A$9:$A$368,$B26,Estado!$I$9:$I$368)</f>
        <v>0</v>
      </c>
      <c r="I26" s="16">
        <f>SUMIF(Estado!$A$9:$A$368,$B26,Estado!$K$9:$K$368)</f>
        <v>0</v>
      </c>
      <c r="J26" s="16">
        <f t="shared" si="3"/>
        <v>0</v>
      </c>
      <c r="K26" s="16">
        <f>SUMIF(Estado!$A$9:$A$368,$B26,Estado!$O$9:$O$368)</f>
        <v>0</v>
      </c>
      <c r="L26" s="50">
        <f t="shared" si="1"/>
        <v>0</v>
      </c>
      <c r="M26" s="50">
        <f t="shared" si="2"/>
        <v>0</v>
      </c>
    </row>
    <row r="27" spans="1:13" s="24" customFormat="1" ht="16.5" x14ac:dyDescent="0.25">
      <c r="A27" s="110"/>
      <c r="B27" s="107" t="str">
        <f>+Estado!A61</f>
        <v>E-09901</v>
      </c>
      <c r="C27" s="105" t="str">
        <f>IFERROR(VLOOKUP(B27,Estado!$A$9:$B$505,2,FALSE),0)</f>
        <v>GASTOS REPRES.PERS.</v>
      </c>
      <c r="D27" s="16">
        <f>SUMIF(Estado!$A$9:$A$368,$B27,Estado!$C$9:$C$368)</f>
        <v>0</v>
      </c>
      <c r="E27" s="16">
        <f>SUMIF(Estado!$A$9:$A$368,$B27,Estado!$D$9:$D$368)</f>
        <v>0</v>
      </c>
      <c r="F27" s="16">
        <f>SUMIF(Estado!$A$9:$A$368,$B27,Estado!$E$9:$E$368)</f>
        <v>0</v>
      </c>
      <c r="G27" s="16">
        <f>SUMIF(Estado!$A$9:$A$368,$B27,Estado!$G$9:$G$368)</f>
        <v>0</v>
      </c>
      <c r="H27" s="16">
        <f>SUMIF(Estado!$A$9:$A$368,$B27,Estado!$I$9:$I$368)</f>
        <v>0</v>
      </c>
      <c r="I27" s="16">
        <f>SUMIF(Estado!$A$9:$A$368,$B27,Estado!$K$9:$K$368)</f>
        <v>0</v>
      </c>
      <c r="J27" s="16">
        <f t="shared" si="3"/>
        <v>0</v>
      </c>
      <c r="K27" s="16">
        <f>SUMIF(Estado!$A$9:$A$368,$B27,Estado!$O$9:$O$368)</f>
        <v>0</v>
      </c>
      <c r="L27" s="50">
        <f t="shared" si="1"/>
        <v>0</v>
      </c>
      <c r="M27" s="50">
        <f t="shared" si="2"/>
        <v>0</v>
      </c>
    </row>
    <row r="28" spans="1:13" s="24" customFormat="1" ht="17.25" x14ac:dyDescent="0.25">
      <c r="A28" s="110"/>
      <c r="B28" s="109" t="str">
        <f>+Estado!A62</f>
        <v>E-1</v>
      </c>
      <c r="C28" s="106" t="str">
        <f>IFERROR(VLOOKUP(B28,Estado!$A$9:$B$505,2,FALSE),0)</f>
        <v>SERVICIOS</v>
      </c>
      <c r="D28" s="22">
        <f>+D29+D35+D41+D48+D56+D61+D64+D68+D76+D78</f>
        <v>16216640106.32</v>
      </c>
      <c r="E28" s="22">
        <f t="shared" ref="E28:K28" si="5">+E29+E35+E41+E48+E56+E61+E64+E68+E76+E78</f>
        <v>16216640106.32</v>
      </c>
      <c r="F28" s="22">
        <f t="shared" si="5"/>
        <v>0</v>
      </c>
      <c r="G28" s="22">
        <f t="shared" si="5"/>
        <v>1869966369.9499998</v>
      </c>
      <c r="H28" s="22">
        <f t="shared" si="5"/>
        <v>0</v>
      </c>
      <c r="I28" s="22">
        <f t="shared" si="5"/>
        <v>13075561583.460001</v>
      </c>
      <c r="J28" s="22">
        <f t="shared" si="5"/>
        <v>14945527953.41</v>
      </c>
      <c r="K28" s="22">
        <f t="shared" si="5"/>
        <v>1271112152.9099998</v>
      </c>
      <c r="L28" s="67">
        <f t="shared" si="1"/>
        <v>0.92161679949876807</v>
      </c>
      <c r="M28" s="67">
        <f t="shared" si="2"/>
        <v>7.8383200501231945E-2</v>
      </c>
    </row>
    <row r="29" spans="1:13" s="24" customFormat="1" ht="16.5" x14ac:dyDescent="0.25">
      <c r="A29" s="110"/>
      <c r="B29" s="107" t="str">
        <f>+Estado!A63</f>
        <v>E-101</v>
      </c>
      <c r="C29" s="105" t="str">
        <f>IFERROR(VLOOKUP(B29,Estado!$A$9:$B$505,2,FALSE),0)</f>
        <v>ALQUILERES</v>
      </c>
      <c r="D29" s="16">
        <f>SUMIF(Estado!$A$9:$A$368,$B29,Estado!$C$9:$C$368)</f>
        <v>6493906031</v>
      </c>
      <c r="E29" s="16">
        <f>SUMIF(Estado!$A$9:$A$368,$B29,Estado!$D$9:$D$368)</f>
        <v>6493906031</v>
      </c>
      <c r="F29" s="16">
        <f>SUMIF(Estado!$A$9:$A$368,$B29,Estado!$E$9:$E$368)</f>
        <v>0</v>
      </c>
      <c r="G29" s="16">
        <f>SUMIF(Estado!$A$9:$A$368,$B29,Estado!$G$9:$G$368)</f>
        <v>437416665.19999999</v>
      </c>
      <c r="H29" s="16">
        <f>SUMIF(Estado!$A$9:$A$368,$B29,Estado!$I$9:$I$368)</f>
        <v>0</v>
      </c>
      <c r="I29" s="16">
        <f>SUMIF(Estado!$A$9:$A$368,$B29,Estado!$K$9:$K$368)</f>
        <v>5563037288.7600002</v>
      </c>
      <c r="J29" s="16">
        <f t="shared" si="3"/>
        <v>6000453953.96</v>
      </c>
      <c r="K29" s="16">
        <f>SUMIF(Estado!$A$9:$A$368,$B29,Estado!$O$9:$O$368)</f>
        <v>493452077.04000002</v>
      </c>
      <c r="L29" s="50">
        <f t="shared" si="1"/>
        <v>0.92401305551937396</v>
      </c>
      <c r="M29" s="50">
        <f t="shared" si="2"/>
        <v>7.5986944480626109E-2</v>
      </c>
    </row>
    <row r="30" spans="1:13" s="24" customFormat="1" ht="16.5" x14ac:dyDescent="0.25">
      <c r="A30" s="110"/>
      <c r="B30" s="107" t="str">
        <f>+Estado!A64</f>
        <v>E-10101</v>
      </c>
      <c r="C30" s="105" t="str">
        <f>IFERROR(VLOOKUP(B30,Estado!$A$9:$B$505,2,FALSE),0)</f>
        <v>ALQ EDIF, LOC.Y TERR</v>
      </c>
      <c r="D30" s="16">
        <f>SUMIF(Estado!$A$9:$A$368,$B30,Estado!$C$9:$C$368)</f>
        <v>683348040</v>
      </c>
      <c r="E30" s="16">
        <f>SUMIF(Estado!$A$9:$A$368,$B30,Estado!$D$9:$D$368)</f>
        <v>683348040</v>
      </c>
      <c r="F30" s="16">
        <f>SUMIF(Estado!$A$9:$A$368,$B30,Estado!$E$9:$E$368)</f>
        <v>0</v>
      </c>
      <c r="G30" s="16">
        <f>SUMIF(Estado!$A$9:$A$368,$B30,Estado!$G$9:$G$368)</f>
        <v>6673419.6900000004</v>
      </c>
      <c r="H30" s="16">
        <f>SUMIF(Estado!$A$9:$A$368,$B30,Estado!$I$9:$I$368)</f>
        <v>0</v>
      </c>
      <c r="I30" s="16">
        <f>SUMIF(Estado!$A$9:$A$368,$B30,Estado!$K$9:$K$368)</f>
        <v>627442447.50999999</v>
      </c>
      <c r="J30" s="16">
        <f t="shared" si="3"/>
        <v>634115867.20000005</v>
      </c>
      <c r="K30" s="16">
        <f>SUMIF(Estado!$A$9:$A$368,$B30,Estado!$O$9:$O$368)</f>
        <v>49232172.799999997</v>
      </c>
      <c r="L30" s="50">
        <f t="shared" si="1"/>
        <v>0.92795446841407503</v>
      </c>
      <c r="M30" s="50">
        <f t="shared" si="2"/>
        <v>7.2045531585925082E-2</v>
      </c>
    </row>
    <row r="31" spans="1:13" s="24" customFormat="1" ht="16.5" x14ac:dyDescent="0.25">
      <c r="A31" s="110"/>
      <c r="B31" s="107" t="str">
        <f>+Estado!A65</f>
        <v>E-10102</v>
      </c>
      <c r="C31" s="105" t="str">
        <f>IFERROR(VLOOKUP(B31,Estado!$A$9:$B$505,2,FALSE),0)</f>
        <v>ALQ DE MAQ, EQ Y MOB</v>
      </c>
      <c r="D31" s="16">
        <f>SUMIF(Estado!$A$9:$A$368,$B31,Estado!$C$9:$C$368)</f>
        <v>6134000</v>
      </c>
      <c r="E31" s="16">
        <f>SUMIF(Estado!$A$9:$A$368,$B31,Estado!$D$9:$D$368)</f>
        <v>6134000</v>
      </c>
      <c r="F31" s="16">
        <f>SUMIF(Estado!$A$9:$A$368,$B31,Estado!$E$9:$E$368)</f>
        <v>0</v>
      </c>
      <c r="G31" s="16">
        <f>SUMIF(Estado!$A$9:$A$368,$B31,Estado!$G$9:$G$368)</f>
        <v>40226.65</v>
      </c>
      <c r="H31" s="16">
        <f>SUMIF(Estado!$A$9:$A$368,$B31,Estado!$I$9:$I$368)</f>
        <v>0</v>
      </c>
      <c r="I31" s="16">
        <f>SUMIF(Estado!$A$9:$A$368,$B31,Estado!$K$9:$K$368)</f>
        <v>2809201.69</v>
      </c>
      <c r="J31" s="16">
        <f t="shared" si="3"/>
        <v>2849428.34</v>
      </c>
      <c r="K31" s="16">
        <f>SUMIF(Estado!$A$9:$A$368,$B31,Estado!$O$9:$O$368)</f>
        <v>3284571.66</v>
      </c>
      <c r="L31" s="50">
        <f t="shared" si="1"/>
        <v>0.46453021519400062</v>
      </c>
      <c r="M31" s="50">
        <f t="shared" si="2"/>
        <v>0.53546978480599938</v>
      </c>
    </row>
    <row r="32" spans="1:13" s="24" customFormat="1" ht="16.5" x14ac:dyDescent="0.25">
      <c r="A32" s="110"/>
      <c r="B32" s="107" t="str">
        <f>+Estado!A66</f>
        <v>E-10103</v>
      </c>
      <c r="C32" s="105" t="str">
        <f>IFERROR(VLOOKUP(B32,Estado!$A$9:$B$505,2,FALSE),0)</f>
        <v>ALQ. EQ. DE COMPUTO</v>
      </c>
      <c r="D32" s="16">
        <f>SUMIF(Estado!$A$9:$A$368,$B32,Estado!$C$9:$C$368)</f>
        <v>1168734000</v>
      </c>
      <c r="E32" s="16">
        <f>SUMIF(Estado!$A$9:$A$368,$B32,Estado!$D$9:$D$368)</f>
        <v>1168734000</v>
      </c>
      <c r="F32" s="16">
        <f>SUMIF(Estado!$A$9:$A$368,$B32,Estado!$E$9:$E$368)</f>
        <v>0</v>
      </c>
      <c r="G32" s="16">
        <f>SUMIF(Estado!$A$9:$A$368,$B32,Estado!$G$9:$G$368)</f>
        <v>104667809.88</v>
      </c>
      <c r="H32" s="16">
        <f>SUMIF(Estado!$A$9:$A$368,$B32,Estado!$I$9:$I$368)</f>
        <v>0</v>
      </c>
      <c r="I32" s="16">
        <f>SUMIF(Estado!$A$9:$A$368,$B32,Estado!$K$9:$K$368)</f>
        <v>949799176.80000007</v>
      </c>
      <c r="J32" s="16">
        <f t="shared" si="3"/>
        <v>1054466986.6800001</v>
      </c>
      <c r="K32" s="16">
        <f>SUMIF(Estado!$A$9:$A$368,$B32,Estado!$O$9:$O$368)</f>
        <v>114267013.32000001</v>
      </c>
      <c r="L32" s="50">
        <f t="shared" si="1"/>
        <v>0.90223009399914789</v>
      </c>
      <c r="M32" s="50">
        <f t="shared" si="2"/>
        <v>9.7769906000852211E-2</v>
      </c>
    </row>
    <row r="33" spans="1:13" s="24" customFormat="1" ht="16.5" x14ac:dyDescent="0.25">
      <c r="A33" s="110"/>
      <c r="B33" s="107" t="str">
        <f>+Estado!A67</f>
        <v>E-10104</v>
      </c>
      <c r="C33" s="105" t="str">
        <f>IFERROR(VLOOKUP(B33,Estado!$A$9:$B$505,2,FALSE),0)</f>
        <v>ALQ Y DERECH P.TELEC</v>
      </c>
      <c r="D33" s="16">
        <f>SUMIF(Estado!$A$9:$A$368,$B33,Estado!$C$9:$C$368)</f>
        <v>21133488</v>
      </c>
      <c r="E33" s="16">
        <f>SUMIF(Estado!$A$9:$A$368,$B33,Estado!$D$9:$D$368)</f>
        <v>21133488</v>
      </c>
      <c r="F33" s="16">
        <f>SUMIF(Estado!$A$9:$A$368,$B33,Estado!$E$9:$E$368)</f>
        <v>0</v>
      </c>
      <c r="G33" s="16">
        <f>SUMIF(Estado!$A$9:$A$368,$B33,Estado!$G$9:$G$368)</f>
        <v>3828535.6</v>
      </c>
      <c r="H33" s="16">
        <f>SUMIF(Estado!$A$9:$A$368,$B33,Estado!$I$9:$I$368)</f>
        <v>0</v>
      </c>
      <c r="I33" s="16">
        <f>SUMIF(Estado!$A$9:$A$368,$B33,Estado!$K$9:$K$368)</f>
        <v>16831579.079999998</v>
      </c>
      <c r="J33" s="16">
        <f t="shared" si="3"/>
        <v>20660114.68</v>
      </c>
      <c r="K33" s="16">
        <f>SUMIF(Estado!$A$9:$A$368,$B33,Estado!$O$9:$O$368)</f>
        <v>473373.32</v>
      </c>
      <c r="L33" s="50">
        <f t="shared" si="1"/>
        <v>0.97760079547682799</v>
      </c>
      <c r="M33" s="50">
        <f t="shared" si="2"/>
        <v>2.2399204523171946E-2</v>
      </c>
    </row>
    <row r="34" spans="1:13" s="24" customFormat="1" ht="16.5" x14ac:dyDescent="0.25">
      <c r="A34" s="110"/>
      <c r="B34" s="107" t="str">
        <f>+Estado!A68</f>
        <v>E-10199</v>
      </c>
      <c r="C34" s="105" t="str">
        <f>IFERROR(VLOOKUP(B34,Estado!$A$9:$B$505,2,FALSE),0)</f>
        <v>OTROS ALQUILERES</v>
      </c>
      <c r="D34" s="16">
        <f>SUMIF(Estado!$A$9:$A$368,$B34,Estado!$C$9:$C$368)</f>
        <v>4614556503</v>
      </c>
      <c r="E34" s="16">
        <f>SUMIF(Estado!$A$9:$A$368,$B34,Estado!$D$9:$D$368)</f>
        <v>4614556503</v>
      </c>
      <c r="F34" s="16">
        <f>SUMIF(Estado!$A$9:$A$368,$B34,Estado!$E$9:$E$368)</f>
        <v>0</v>
      </c>
      <c r="G34" s="16">
        <f>SUMIF(Estado!$A$9:$A$368,$B34,Estado!$G$9:$G$368)</f>
        <v>322206673.38</v>
      </c>
      <c r="H34" s="16">
        <f>SUMIF(Estado!$A$9:$A$368,$B34,Estado!$I$9:$I$368)</f>
        <v>0</v>
      </c>
      <c r="I34" s="16">
        <f>SUMIF(Estado!$A$9:$A$368,$B34,Estado!$K$9:$K$368)</f>
        <v>3966154883.6799998</v>
      </c>
      <c r="J34" s="16">
        <f t="shared" si="3"/>
        <v>4288361557.0599999</v>
      </c>
      <c r="K34" s="16">
        <f>SUMIF(Estado!$A$9:$A$368,$B34,Estado!$O$9:$O$368)</f>
        <v>326194945.94</v>
      </c>
      <c r="L34" s="50">
        <f t="shared" si="1"/>
        <v>0.92931174518549398</v>
      </c>
      <c r="M34" s="50">
        <f t="shared" si="2"/>
        <v>7.0688254814506066E-2</v>
      </c>
    </row>
    <row r="35" spans="1:13" s="24" customFormat="1" ht="16.5" x14ac:dyDescent="0.25">
      <c r="A35" s="110"/>
      <c r="B35" s="107" t="str">
        <f>+Estado!A69</f>
        <v>E-102</v>
      </c>
      <c r="C35" s="105" t="str">
        <f>IFERROR(VLOOKUP(B35,Estado!$A$9:$B$505,2,FALSE),0)</f>
        <v>SERVICIOS BÁSICOS</v>
      </c>
      <c r="D35" s="16">
        <f>SUMIF(Estado!$A$9:$A$368,$B35,Estado!$C$9:$C$368)</f>
        <v>5726578214</v>
      </c>
      <c r="E35" s="16">
        <f>SUMIF(Estado!$A$9:$A$368,$B35,Estado!$D$9:$D$368)</f>
        <v>5726578214</v>
      </c>
      <c r="F35" s="16">
        <f>SUMIF(Estado!$A$9:$A$368,$B35,Estado!$E$9:$E$368)</f>
        <v>0</v>
      </c>
      <c r="G35" s="16">
        <f>SUMIF(Estado!$A$9:$A$368,$B35,Estado!$G$9:$G$368)</f>
        <v>824980267.8499999</v>
      </c>
      <c r="H35" s="16">
        <f>SUMIF(Estado!$A$9:$A$368,$B35,Estado!$I$9:$I$368)</f>
        <v>0</v>
      </c>
      <c r="I35" s="16">
        <f>SUMIF(Estado!$A$9:$A$368,$B35,Estado!$K$9:$K$368)</f>
        <v>4747061351.1500006</v>
      </c>
      <c r="J35" s="16">
        <f t="shared" si="3"/>
        <v>5572041619</v>
      </c>
      <c r="K35" s="16">
        <f>SUMIF(Estado!$A$9:$A$368,$B35,Estado!$O$9:$O$368)</f>
        <v>154536595</v>
      </c>
      <c r="L35" s="50">
        <f t="shared" si="1"/>
        <v>0.97301414750222082</v>
      </c>
      <c r="M35" s="50">
        <f t="shared" si="2"/>
        <v>2.6985852497779225E-2</v>
      </c>
    </row>
    <row r="36" spans="1:13" s="24" customFormat="1" ht="16.5" x14ac:dyDescent="0.25">
      <c r="A36" s="110"/>
      <c r="B36" s="107" t="str">
        <f>+Estado!A70</f>
        <v>E-10201</v>
      </c>
      <c r="C36" s="105" t="str">
        <f>IFERROR(VLOOKUP(B36,Estado!$A$9:$B$505,2,FALSE),0)</f>
        <v>SERV.AGUA Y ALCANT.</v>
      </c>
      <c r="D36" s="16">
        <f>SUMIF(Estado!$A$9:$A$368,$B36,Estado!$C$9:$C$368)</f>
        <v>3100767700</v>
      </c>
      <c r="E36" s="16">
        <f>SUMIF(Estado!$A$9:$A$368,$B36,Estado!$D$9:$D$368)</f>
        <v>3100767700</v>
      </c>
      <c r="F36" s="16">
        <f>SUMIF(Estado!$A$9:$A$368,$B36,Estado!$E$9:$E$368)</f>
        <v>0</v>
      </c>
      <c r="G36" s="16">
        <f>SUMIF(Estado!$A$9:$A$368,$B36,Estado!$G$9:$G$368)</f>
        <v>476982087.39999998</v>
      </c>
      <c r="H36" s="16">
        <f>SUMIF(Estado!$A$9:$A$368,$B36,Estado!$I$9:$I$368)</f>
        <v>0</v>
      </c>
      <c r="I36" s="16">
        <f>SUMIF(Estado!$A$9:$A$368,$B36,Estado!$K$9:$K$368)</f>
        <v>2622839247.5999999</v>
      </c>
      <c r="J36" s="16">
        <f t="shared" si="3"/>
        <v>3099821335</v>
      </c>
      <c r="K36" s="16">
        <f>SUMIF(Estado!$A$9:$A$368,$B36,Estado!$O$9:$O$368)</f>
        <v>946365</v>
      </c>
      <c r="L36" s="50">
        <f t="shared" si="1"/>
        <v>0.99969479654989957</v>
      </c>
      <c r="M36" s="50">
        <f t="shared" si="2"/>
        <v>3.0520345010043803E-4</v>
      </c>
    </row>
    <row r="37" spans="1:13" s="24" customFormat="1" ht="16.5" x14ac:dyDescent="0.25">
      <c r="A37" s="110"/>
      <c r="B37" s="107" t="str">
        <f>+Estado!A71</f>
        <v>E-10202</v>
      </c>
      <c r="C37" s="105" t="str">
        <f>IFERROR(VLOOKUP(B37,Estado!$A$9:$B$505,2,FALSE),0)</f>
        <v>SERV ENERGÍA ELÉCT</v>
      </c>
      <c r="D37" s="16">
        <f>SUMIF(Estado!$A$9:$A$368,$B37,Estado!$C$9:$C$368)</f>
        <v>1540946000</v>
      </c>
      <c r="E37" s="16">
        <f>SUMIF(Estado!$A$9:$A$368,$B37,Estado!$D$9:$D$368)</f>
        <v>1540946000</v>
      </c>
      <c r="F37" s="16">
        <f>SUMIF(Estado!$A$9:$A$368,$B37,Estado!$E$9:$E$368)</f>
        <v>0</v>
      </c>
      <c r="G37" s="16">
        <f>SUMIF(Estado!$A$9:$A$368,$B37,Estado!$G$9:$G$368)</f>
        <v>107157141.84999999</v>
      </c>
      <c r="H37" s="16">
        <f>SUMIF(Estado!$A$9:$A$368,$B37,Estado!$I$9:$I$368)</f>
        <v>0</v>
      </c>
      <c r="I37" s="16">
        <f>SUMIF(Estado!$A$9:$A$368,$B37,Estado!$K$9:$K$368)</f>
        <v>1421845078.1500001</v>
      </c>
      <c r="J37" s="16">
        <f t="shared" si="3"/>
        <v>1529002220</v>
      </c>
      <c r="K37" s="16">
        <f>SUMIF(Estado!$A$9:$A$368,$B37,Estado!$O$9:$O$368)</f>
        <v>11943780</v>
      </c>
      <c r="L37" s="50">
        <f t="shared" si="1"/>
        <v>0.99224905999301727</v>
      </c>
      <c r="M37" s="50">
        <f t="shared" si="2"/>
        <v>7.7509400069827239E-3</v>
      </c>
    </row>
    <row r="38" spans="1:13" s="24" customFormat="1" ht="16.5" x14ac:dyDescent="0.25">
      <c r="A38" s="110"/>
      <c r="B38" s="107" t="str">
        <f>+Estado!A72</f>
        <v>E-10203</v>
      </c>
      <c r="C38" s="105" t="str">
        <f>IFERROR(VLOOKUP(B38,Estado!$A$9:$B$505,2,FALSE),0)</f>
        <v>SERVICIO DE CORREO</v>
      </c>
      <c r="D38" s="16">
        <f>SUMIF(Estado!$A$9:$A$368,$B38,Estado!$C$9:$C$368)</f>
        <v>16925000</v>
      </c>
      <c r="E38" s="16">
        <f>SUMIF(Estado!$A$9:$A$368,$B38,Estado!$D$9:$D$368)</f>
        <v>16925000</v>
      </c>
      <c r="F38" s="16">
        <f>SUMIF(Estado!$A$9:$A$368,$B38,Estado!$E$9:$E$368)</f>
        <v>0</v>
      </c>
      <c r="G38" s="16">
        <f>SUMIF(Estado!$A$9:$A$368,$B38,Estado!$G$9:$G$368)</f>
        <v>1082565</v>
      </c>
      <c r="H38" s="16">
        <f>SUMIF(Estado!$A$9:$A$368,$B38,Estado!$I$9:$I$368)</f>
        <v>0</v>
      </c>
      <c r="I38" s="16">
        <f>SUMIF(Estado!$A$9:$A$368,$B38,Estado!$K$9:$K$368)</f>
        <v>5436995</v>
      </c>
      <c r="J38" s="16">
        <f t="shared" si="3"/>
        <v>6519560</v>
      </c>
      <c r="K38" s="16">
        <f>SUMIF(Estado!$A$9:$A$368,$B38,Estado!$O$9:$O$368)</f>
        <v>10405440</v>
      </c>
      <c r="L38" s="50">
        <f t="shared" si="1"/>
        <v>0.38520295420974887</v>
      </c>
      <c r="M38" s="50">
        <f t="shared" si="2"/>
        <v>0.61479704579025107</v>
      </c>
    </row>
    <row r="39" spans="1:13" s="24" customFormat="1" ht="16.5" x14ac:dyDescent="0.25">
      <c r="A39" s="110"/>
      <c r="B39" s="107" t="str">
        <f>+Estado!A73</f>
        <v>E-10204</v>
      </c>
      <c r="C39" s="105" t="str">
        <f>IFERROR(VLOOKUP(B39,Estado!$A$9:$B$505,2,FALSE),0)</f>
        <v>SERV.TELECOMUNIC.</v>
      </c>
      <c r="D39" s="16">
        <f>SUMIF(Estado!$A$9:$A$368,$B39,Estado!$C$9:$C$368)</f>
        <v>905797316</v>
      </c>
      <c r="E39" s="16">
        <f>SUMIF(Estado!$A$9:$A$368,$B39,Estado!$D$9:$D$368)</f>
        <v>905797316</v>
      </c>
      <c r="F39" s="16">
        <f>SUMIF(Estado!$A$9:$A$368,$B39,Estado!$E$9:$E$368)</f>
        <v>0</v>
      </c>
      <c r="G39" s="16">
        <f>SUMIF(Estado!$A$9:$A$368,$B39,Estado!$G$9:$G$368)</f>
        <v>162288046.59</v>
      </c>
      <c r="H39" s="16">
        <f>SUMIF(Estado!$A$9:$A$368,$B39,Estado!$I$9:$I$368)</f>
        <v>0</v>
      </c>
      <c r="I39" s="16">
        <f>SUMIF(Estado!$A$9:$A$368,$B39,Estado!$K$9:$K$368)</f>
        <v>613563230.21000004</v>
      </c>
      <c r="J39" s="16">
        <f t="shared" si="3"/>
        <v>775851276.80000007</v>
      </c>
      <c r="K39" s="16">
        <f>SUMIF(Estado!$A$9:$A$368,$B39,Estado!$O$9:$O$368)</f>
        <v>129946039.2</v>
      </c>
      <c r="L39" s="50">
        <f t="shared" si="1"/>
        <v>0.85653960670380269</v>
      </c>
      <c r="M39" s="50">
        <f t="shared" si="2"/>
        <v>0.14346039329619742</v>
      </c>
    </row>
    <row r="40" spans="1:13" s="24" customFormat="1" ht="16.5" x14ac:dyDescent="0.25">
      <c r="A40" s="110"/>
      <c r="B40" s="107" t="str">
        <f>+Estado!A74</f>
        <v>E-10299</v>
      </c>
      <c r="C40" s="105" t="str">
        <f>IFERROR(VLOOKUP(B40,Estado!$A$9:$B$505,2,FALSE),0)</f>
        <v>OTROS SERV.BÁSICOS</v>
      </c>
      <c r="D40" s="16">
        <f>SUMIF(Estado!$A$9:$A$368,$B40,Estado!$C$9:$C$368)</f>
        <v>162142198</v>
      </c>
      <c r="E40" s="16">
        <f>SUMIF(Estado!$A$9:$A$368,$B40,Estado!$D$9:$D$368)</f>
        <v>162142198</v>
      </c>
      <c r="F40" s="16">
        <f>SUMIF(Estado!$A$9:$A$368,$B40,Estado!$E$9:$E$368)</f>
        <v>0</v>
      </c>
      <c r="G40" s="16">
        <f>SUMIF(Estado!$A$9:$A$368,$B40,Estado!$G$9:$G$368)</f>
        <v>77470427.010000005</v>
      </c>
      <c r="H40" s="16">
        <f>SUMIF(Estado!$A$9:$A$368,$B40,Estado!$I$9:$I$368)</f>
        <v>0</v>
      </c>
      <c r="I40" s="16">
        <f>SUMIF(Estado!$A$9:$A$368,$B40,Estado!$K$9:$K$368)</f>
        <v>83376800.189999998</v>
      </c>
      <c r="J40" s="16">
        <f t="shared" si="3"/>
        <v>160847227.19999999</v>
      </c>
      <c r="K40" s="16">
        <f>SUMIF(Estado!$A$9:$A$368,$B40,Estado!$O$9:$O$368)</f>
        <v>1294970.8</v>
      </c>
      <c r="L40" s="50">
        <f t="shared" si="1"/>
        <v>0.99201336347987579</v>
      </c>
      <c r="M40" s="50">
        <f t="shared" si="2"/>
        <v>7.9866365201241452E-3</v>
      </c>
    </row>
    <row r="41" spans="1:13" s="24" customFormat="1" ht="16.5" x14ac:dyDescent="0.25">
      <c r="A41" s="110"/>
      <c r="B41" s="107" t="str">
        <f>+Estado!A75</f>
        <v>E-103</v>
      </c>
      <c r="C41" s="105" t="str">
        <f>IFERROR(VLOOKUP(B41,Estado!$A$9:$B$505,2,FALSE),0)</f>
        <v>SERV COMERC Y FINANC</v>
      </c>
      <c r="D41" s="16">
        <f>SUMIF(Estado!$A$9:$A$368,$B41,Estado!$C$9:$C$368)</f>
        <v>34353640</v>
      </c>
      <c r="E41" s="16">
        <f>SUMIF(Estado!$A$9:$A$368,$B41,Estado!$D$9:$D$368)</f>
        <v>34353640</v>
      </c>
      <c r="F41" s="16">
        <f>SUMIF(Estado!$A$9:$A$368,$B41,Estado!$E$9:$E$368)</f>
        <v>0</v>
      </c>
      <c r="G41" s="16">
        <f>SUMIF(Estado!$A$9:$A$368,$B41,Estado!$G$9:$G$368)</f>
        <v>3363585.32</v>
      </c>
      <c r="H41" s="16">
        <f>SUMIF(Estado!$A$9:$A$368,$B41,Estado!$I$9:$I$368)</f>
        <v>0</v>
      </c>
      <c r="I41" s="16">
        <f>SUMIF(Estado!$A$9:$A$368,$B41,Estado!$K$9:$K$368)</f>
        <v>23143771.780000001</v>
      </c>
      <c r="J41" s="16">
        <f t="shared" si="3"/>
        <v>26507357.100000001</v>
      </c>
      <c r="K41" s="16">
        <f>SUMIF(Estado!$A$9:$A$368,$B41,Estado!$O$9:$O$368)</f>
        <v>7846282.9000000004</v>
      </c>
      <c r="L41" s="50">
        <f t="shared" si="1"/>
        <v>0.77160257544760913</v>
      </c>
      <c r="M41" s="50">
        <f t="shared" si="2"/>
        <v>0.22839742455239095</v>
      </c>
    </row>
    <row r="42" spans="1:13" s="24" customFormat="1" ht="16.5" x14ac:dyDescent="0.25">
      <c r="A42" s="110"/>
      <c r="B42" s="107" t="str">
        <f>+Estado!A76</f>
        <v>E-10301</v>
      </c>
      <c r="C42" s="105" t="str">
        <f>IFERROR(VLOOKUP(B42,Estado!$A$9:$B$505,2,FALSE),0)</f>
        <v>INFORMACIÓN</v>
      </c>
      <c r="D42" s="16">
        <f>SUMIF(Estado!$A$9:$A$368,$B42,Estado!$C$9:$C$368)</f>
        <v>15951680</v>
      </c>
      <c r="E42" s="16">
        <f>SUMIF(Estado!$A$9:$A$368,$B42,Estado!$D$9:$D$368)</f>
        <v>15951680</v>
      </c>
      <c r="F42" s="16">
        <f>SUMIF(Estado!$A$9:$A$368,$B42,Estado!$E$9:$E$368)</f>
        <v>0</v>
      </c>
      <c r="G42" s="16">
        <f>SUMIF(Estado!$A$9:$A$368,$B42,Estado!$G$9:$G$368)</f>
        <v>1887001</v>
      </c>
      <c r="H42" s="16">
        <f>SUMIF(Estado!$A$9:$A$368,$B42,Estado!$I$9:$I$368)</f>
        <v>0</v>
      </c>
      <c r="I42" s="16">
        <f>SUMIF(Estado!$A$9:$A$368,$B42,Estado!$K$9:$K$368)</f>
        <v>13243580</v>
      </c>
      <c r="J42" s="16">
        <f t="shared" si="3"/>
        <v>15130581</v>
      </c>
      <c r="K42" s="16">
        <f>SUMIF(Estado!$A$9:$A$368,$B42,Estado!$O$9:$O$368)</f>
        <v>821099</v>
      </c>
      <c r="L42" s="50">
        <f t="shared" si="1"/>
        <v>0.94852586059900901</v>
      </c>
      <c r="M42" s="50">
        <f t="shared" si="2"/>
        <v>5.1474139400990992E-2</v>
      </c>
    </row>
    <row r="43" spans="1:13" s="24" customFormat="1" ht="16.5" x14ac:dyDescent="0.25">
      <c r="A43" s="110"/>
      <c r="B43" s="107" t="str">
        <f>+Estado!A77</f>
        <v>E-10302</v>
      </c>
      <c r="C43" s="105" t="str">
        <f>IFERROR(VLOOKUP(B43,Estado!$A$9:$B$505,2,FALSE),0)</f>
        <v>PUBLICIDAD Y PROPAG.</v>
      </c>
      <c r="D43" s="16">
        <f>SUMIF(Estado!$A$9:$A$368,$B43,Estado!$C$9:$C$368)</f>
        <v>97250</v>
      </c>
      <c r="E43" s="16">
        <f>SUMIF(Estado!$A$9:$A$368,$B43,Estado!$D$9:$D$368)</f>
        <v>97250</v>
      </c>
      <c r="F43" s="16">
        <f>SUMIF(Estado!$A$9:$A$368,$B43,Estado!$E$9:$E$368)</f>
        <v>0</v>
      </c>
      <c r="G43" s="16">
        <f>SUMIF(Estado!$A$9:$A$368,$B43,Estado!$G$9:$G$368)</f>
        <v>0</v>
      </c>
      <c r="H43" s="16">
        <f>SUMIF(Estado!$A$9:$A$368,$B43,Estado!$I$9:$I$368)</f>
        <v>0</v>
      </c>
      <c r="I43" s="16">
        <f>SUMIF(Estado!$A$9:$A$368,$B43,Estado!$K$9:$K$368)</f>
        <v>97250</v>
      </c>
      <c r="J43" s="16">
        <f t="shared" si="3"/>
        <v>97250</v>
      </c>
      <c r="K43" s="16">
        <f>SUMIF(Estado!$A$9:$A$368,$B43,Estado!$O$9:$O$368)</f>
        <v>0</v>
      </c>
      <c r="L43" s="50">
        <f t="shared" si="1"/>
        <v>1</v>
      </c>
      <c r="M43" s="50">
        <f t="shared" si="2"/>
        <v>0</v>
      </c>
    </row>
    <row r="44" spans="1:13" s="24" customFormat="1" ht="16.5" x14ac:dyDescent="0.25">
      <c r="A44" s="110"/>
      <c r="B44" s="107" t="str">
        <f>+Estado!A78</f>
        <v>E-10303</v>
      </c>
      <c r="C44" s="105" t="str">
        <f>IFERROR(VLOOKUP(B44,Estado!$A$9:$B$505,2,FALSE),0)</f>
        <v>IMP., ENCUAD Y OTROS</v>
      </c>
      <c r="D44" s="16">
        <f>SUMIF(Estado!$A$9:$A$368,$B44,Estado!$C$9:$C$368)</f>
        <v>12905710</v>
      </c>
      <c r="E44" s="16">
        <f>SUMIF(Estado!$A$9:$A$368,$B44,Estado!$D$9:$D$368)</f>
        <v>12905710</v>
      </c>
      <c r="F44" s="16">
        <f>SUMIF(Estado!$A$9:$A$368,$B44,Estado!$E$9:$E$368)</f>
        <v>0</v>
      </c>
      <c r="G44" s="16">
        <f>SUMIF(Estado!$A$9:$A$368,$B44,Estado!$G$9:$G$368)</f>
        <v>1150917</v>
      </c>
      <c r="H44" s="16">
        <f>SUMIF(Estado!$A$9:$A$368,$B44,Estado!$I$9:$I$368)</f>
        <v>0</v>
      </c>
      <c r="I44" s="16">
        <f>SUMIF(Estado!$A$9:$A$368,$B44,Estado!$K$9:$K$368)</f>
        <v>8574683</v>
      </c>
      <c r="J44" s="16">
        <f t="shared" si="3"/>
        <v>9725600</v>
      </c>
      <c r="K44" s="16">
        <f>SUMIF(Estado!$A$9:$A$368,$B44,Estado!$O$9:$O$368)</f>
        <v>3180110</v>
      </c>
      <c r="L44" s="50">
        <f t="shared" si="1"/>
        <v>0.75358891529408301</v>
      </c>
      <c r="M44" s="50">
        <f t="shared" si="2"/>
        <v>0.24641108470591699</v>
      </c>
    </row>
    <row r="45" spans="1:13" s="24" customFormat="1" ht="16.5" x14ac:dyDescent="0.25">
      <c r="A45" s="110"/>
      <c r="B45" s="107" t="str">
        <f>+Estado!A79</f>
        <v>E-10304</v>
      </c>
      <c r="C45" s="105" t="str">
        <f>IFERROR(VLOOKUP(B45,Estado!$A$9:$B$505,2,FALSE),0)</f>
        <v>TRANSPORTE DE BIENES</v>
      </c>
      <c r="D45" s="16">
        <f>SUMIF(Estado!$A$9:$A$368,$B45,Estado!$C$9:$C$368)</f>
        <v>600000</v>
      </c>
      <c r="E45" s="16">
        <f>SUMIF(Estado!$A$9:$A$368,$B45,Estado!$D$9:$D$368)</f>
        <v>600000</v>
      </c>
      <c r="F45" s="16">
        <f>SUMIF(Estado!$A$9:$A$368,$B45,Estado!$E$9:$E$368)</f>
        <v>0</v>
      </c>
      <c r="G45" s="16">
        <f>SUMIF(Estado!$A$9:$A$368,$B45,Estado!$G$9:$G$368)</f>
        <v>0</v>
      </c>
      <c r="H45" s="16">
        <f>SUMIF(Estado!$A$9:$A$368,$B45,Estado!$I$9:$I$368)</f>
        <v>0</v>
      </c>
      <c r="I45" s="16">
        <f>SUMIF(Estado!$A$9:$A$368,$B45,Estado!$K$9:$K$368)</f>
        <v>0</v>
      </c>
      <c r="J45" s="16">
        <f t="shared" si="3"/>
        <v>0</v>
      </c>
      <c r="K45" s="16">
        <f>SUMIF(Estado!$A$9:$A$368,$B45,Estado!$O$9:$O$368)</f>
        <v>600000</v>
      </c>
      <c r="L45" s="50">
        <f t="shared" si="1"/>
        <v>0</v>
      </c>
      <c r="M45" s="50">
        <f t="shared" si="2"/>
        <v>1</v>
      </c>
    </row>
    <row r="46" spans="1:13" s="24" customFormat="1" ht="16.5" x14ac:dyDescent="0.25">
      <c r="A46" s="110"/>
      <c r="B46" s="107" t="str">
        <f>+Estado!A80</f>
        <v>E-10306</v>
      </c>
      <c r="C46" s="105" t="str">
        <f>IFERROR(VLOOKUP(B46,Estado!$A$9:$B$505,2,FALSE),0)</f>
        <v>COM G.P.S.FIN Y COM.</v>
      </c>
      <c r="D46" s="16">
        <f>SUMIF(Estado!$A$9:$A$368,$B46,Estado!$C$9:$C$368)</f>
        <v>250000</v>
      </c>
      <c r="E46" s="16">
        <f>SUMIF(Estado!$A$9:$A$368,$B46,Estado!$D$9:$D$368)</f>
        <v>250000</v>
      </c>
      <c r="F46" s="16">
        <f>SUMIF(Estado!$A$9:$A$368,$B46,Estado!$E$9:$E$368)</f>
        <v>0</v>
      </c>
      <c r="G46" s="16">
        <f>SUMIF(Estado!$A$9:$A$368,$B46,Estado!$G$9:$G$368)</f>
        <v>67024.5</v>
      </c>
      <c r="H46" s="16">
        <f>SUMIF(Estado!$A$9:$A$368,$B46,Estado!$I$9:$I$368)</f>
        <v>0</v>
      </c>
      <c r="I46" s="16">
        <f>SUMIF(Estado!$A$9:$A$368,$B46,Estado!$K$9:$K$368)</f>
        <v>90969.5</v>
      </c>
      <c r="J46" s="16">
        <f t="shared" si="3"/>
        <v>157994</v>
      </c>
      <c r="K46" s="16">
        <f>SUMIF(Estado!$A$9:$A$368,$B46,Estado!$O$9:$O$368)</f>
        <v>92006</v>
      </c>
      <c r="L46" s="50">
        <f t="shared" si="1"/>
        <v>0.63197599999999998</v>
      </c>
      <c r="M46" s="50">
        <f t="shared" si="2"/>
        <v>0.36802400000000002</v>
      </c>
    </row>
    <row r="47" spans="1:13" s="24" customFormat="1" ht="16.5" x14ac:dyDescent="0.25">
      <c r="A47" s="110"/>
      <c r="B47" s="107" t="str">
        <f>+Estado!A81</f>
        <v>E-10307</v>
      </c>
      <c r="C47" s="105" t="str">
        <f>IFERROR(VLOOKUP(B47,Estado!$A$9:$B$505,2,FALSE),0)</f>
        <v>SERV TRANSF.ELEC.INF</v>
      </c>
      <c r="D47" s="16">
        <f>SUMIF(Estado!$A$9:$A$368,$B47,Estado!$C$9:$C$368)</f>
        <v>4549000</v>
      </c>
      <c r="E47" s="16">
        <f>SUMIF(Estado!$A$9:$A$368,$B47,Estado!$D$9:$D$368)</f>
        <v>4549000</v>
      </c>
      <c r="F47" s="16">
        <f>SUMIF(Estado!$A$9:$A$368,$B47,Estado!$E$9:$E$368)</f>
        <v>0</v>
      </c>
      <c r="G47" s="16">
        <f>SUMIF(Estado!$A$9:$A$368,$B47,Estado!$G$9:$G$368)</f>
        <v>258642.82</v>
      </c>
      <c r="H47" s="16">
        <f>SUMIF(Estado!$A$9:$A$368,$B47,Estado!$I$9:$I$368)</f>
        <v>0</v>
      </c>
      <c r="I47" s="16">
        <f>SUMIF(Estado!$A$9:$A$368,$B47,Estado!$K$9:$K$368)</f>
        <v>1137289.28</v>
      </c>
      <c r="J47" s="16">
        <f t="shared" si="3"/>
        <v>1395932.1</v>
      </c>
      <c r="K47" s="16">
        <f>SUMIF(Estado!$A$9:$A$368,$B47,Estado!$O$9:$O$368)</f>
        <v>3153067.9</v>
      </c>
      <c r="L47" s="50">
        <f t="shared" si="1"/>
        <v>0.30686570674873603</v>
      </c>
      <c r="M47" s="50">
        <f t="shared" si="2"/>
        <v>0.69313429325126397</v>
      </c>
    </row>
    <row r="48" spans="1:13" s="24" customFormat="1" ht="16.5" x14ac:dyDescent="0.25">
      <c r="A48" s="110"/>
      <c r="B48" s="107" t="str">
        <f>+Estado!A82</f>
        <v>E-104</v>
      </c>
      <c r="C48" s="105" t="str">
        <f>IFERROR(VLOOKUP(B48,Estado!$A$9:$B$505,2,FALSE),0)</f>
        <v>SERV DE GEST Y APOYO</v>
      </c>
      <c r="D48" s="16">
        <f>SUMIF(Estado!$A$9:$A$368,$B48,Estado!$C$9:$C$368)</f>
        <v>1082824093</v>
      </c>
      <c r="E48" s="16">
        <f>SUMIF(Estado!$A$9:$A$368,$B48,Estado!$D$9:$D$368)</f>
        <v>1082824093</v>
      </c>
      <c r="F48" s="16">
        <f>SUMIF(Estado!$A$9:$A$368,$B48,Estado!$E$9:$E$368)</f>
        <v>0</v>
      </c>
      <c r="G48" s="16">
        <f>SUMIF(Estado!$A$9:$A$368,$B48,Estado!$G$9:$G$368)</f>
        <v>62720421.969999999</v>
      </c>
      <c r="H48" s="16">
        <f>SUMIF(Estado!$A$9:$A$368,$B48,Estado!$I$9:$I$368)</f>
        <v>0</v>
      </c>
      <c r="I48" s="16">
        <f>SUMIF(Estado!$A$9:$A$368,$B48,Estado!$K$9:$K$368)</f>
        <v>844100641.07999992</v>
      </c>
      <c r="J48" s="16">
        <f t="shared" si="3"/>
        <v>906821063.04999995</v>
      </c>
      <c r="K48" s="16">
        <f>SUMIF(Estado!$A$9:$A$368,$B48,Estado!$O$9:$O$368)</f>
        <v>176003029.94999999</v>
      </c>
      <c r="L48" s="50">
        <f t="shared" si="1"/>
        <v>0.83745925946071464</v>
      </c>
      <c r="M48" s="50">
        <f t="shared" si="2"/>
        <v>0.16254074053928536</v>
      </c>
    </row>
    <row r="49" spans="1:13" s="24" customFormat="1" ht="16.5" x14ac:dyDescent="0.25">
      <c r="A49" s="110"/>
      <c r="B49" s="107" t="str">
        <f>+Estado!A83</f>
        <v>E-10401</v>
      </c>
      <c r="C49" s="105" t="str">
        <f>IFERROR(VLOOKUP(B49,Estado!$A$9:$B$505,2,FALSE),0)</f>
        <v>SERV.MEDICOS YDE LAB</v>
      </c>
      <c r="D49" s="16">
        <f>SUMIF(Estado!$A$9:$A$368,$B49,Estado!$C$9:$C$368)</f>
        <v>24045000</v>
      </c>
      <c r="E49" s="16">
        <f>SUMIF(Estado!$A$9:$A$368,$B49,Estado!$D$9:$D$368)</f>
        <v>24045000</v>
      </c>
      <c r="F49" s="16">
        <f>SUMIF(Estado!$A$9:$A$368,$B49,Estado!$E$9:$E$368)</f>
        <v>0</v>
      </c>
      <c r="G49" s="16">
        <f>SUMIF(Estado!$A$9:$A$368,$B49,Estado!$G$9:$G$368)</f>
        <v>190000</v>
      </c>
      <c r="H49" s="16">
        <f>SUMIF(Estado!$A$9:$A$368,$B49,Estado!$I$9:$I$368)</f>
        <v>0</v>
      </c>
      <c r="I49" s="16">
        <f>SUMIF(Estado!$A$9:$A$368,$B49,Estado!$K$9:$K$368)</f>
        <v>21771056</v>
      </c>
      <c r="J49" s="16">
        <f t="shared" si="3"/>
        <v>21961056</v>
      </c>
      <c r="K49" s="16">
        <f>SUMIF(Estado!$A$9:$A$368,$B49,Estado!$O$9:$O$368)</f>
        <v>2083944</v>
      </c>
      <c r="L49" s="50">
        <f t="shared" si="1"/>
        <v>0.91333150343106673</v>
      </c>
      <c r="M49" s="50">
        <f t="shared" si="2"/>
        <v>8.6668496568933245E-2</v>
      </c>
    </row>
    <row r="50" spans="1:13" s="24" customFormat="1" ht="16.5" x14ac:dyDescent="0.25">
      <c r="A50" s="110"/>
      <c r="B50" s="107" t="str">
        <f>+Estado!A84</f>
        <v>E-10402</v>
      </c>
      <c r="C50" s="105" t="str">
        <f>IFERROR(VLOOKUP(B50,Estado!$A$9:$B$505,2,FALSE),0)</f>
        <v>SERVICIOS JURÍDICOS</v>
      </c>
      <c r="D50" s="16">
        <f>SUMIF(Estado!$A$9:$A$368,$B50,Estado!$C$9:$C$368)</f>
        <v>1000000</v>
      </c>
      <c r="E50" s="16">
        <f>SUMIF(Estado!$A$9:$A$368,$B50,Estado!$D$9:$D$368)</f>
        <v>1000000</v>
      </c>
      <c r="F50" s="16">
        <f>SUMIF(Estado!$A$9:$A$368,$B50,Estado!$E$9:$E$368)</f>
        <v>0</v>
      </c>
      <c r="G50" s="16">
        <f>SUMIF(Estado!$A$9:$A$368,$B50,Estado!$G$9:$G$368)</f>
        <v>0</v>
      </c>
      <c r="H50" s="16">
        <f>SUMIF(Estado!$A$9:$A$368,$B50,Estado!$I$9:$I$368)</f>
        <v>0</v>
      </c>
      <c r="I50" s="16">
        <f>SUMIF(Estado!$A$9:$A$368,$B50,Estado!$K$9:$K$368)</f>
        <v>18275</v>
      </c>
      <c r="J50" s="16">
        <f t="shared" si="3"/>
        <v>18275</v>
      </c>
      <c r="K50" s="16">
        <f>SUMIF(Estado!$A$9:$A$368,$B50,Estado!$O$9:$O$368)</f>
        <v>981725</v>
      </c>
      <c r="L50" s="50">
        <f t="shared" si="1"/>
        <v>1.8275E-2</v>
      </c>
      <c r="M50" s="50">
        <f t="shared" si="2"/>
        <v>0.98172499999999996</v>
      </c>
    </row>
    <row r="51" spans="1:13" s="24" customFormat="1" ht="16.5" x14ac:dyDescent="0.25">
      <c r="A51" s="110"/>
      <c r="B51" s="107" t="str">
        <f>+Estado!A85</f>
        <v>E-10403</v>
      </c>
      <c r="C51" s="105" t="str">
        <f>IFERROR(VLOOKUP(B51,Estado!$A$9:$B$505,2,FALSE),0)</f>
        <v>SERV. DE INGENIERÍA</v>
      </c>
      <c r="D51" s="16">
        <f>SUMIF(Estado!$A$9:$A$368,$B51,Estado!$C$9:$C$368)</f>
        <v>471056885</v>
      </c>
      <c r="E51" s="16">
        <f>SUMIF(Estado!$A$9:$A$368,$B51,Estado!$D$9:$D$368)</f>
        <v>471056885</v>
      </c>
      <c r="F51" s="16">
        <f>SUMIF(Estado!$A$9:$A$368,$B51,Estado!$E$9:$E$368)</f>
        <v>0</v>
      </c>
      <c r="G51" s="16">
        <f>SUMIF(Estado!$A$9:$A$368,$B51,Estado!$G$9:$G$368)</f>
        <v>29474619.219999999</v>
      </c>
      <c r="H51" s="16">
        <f>SUMIF(Estado!$A$9:$A$368,$B51,Estado!$I$9:$I$368)</f>
        <v>0</v>
      </c>
      <c r="I51" s="16">
        <f>SUMIF(Estado!$A$9:$A$368,$B51,Estado!$K$9:$K$368)</f>
        <v>377038953.25</v>
      </c>
      <c r="J51" s="16">
        <f t="shared" si="3"/>
        <v>406513572.47000003</v>
      </c>
      <c r="K51" s="16">
        <f>SUMIF(Estado!$A$9:$A$368,$B51,Estado!$O$9:$O$368)</f>
        <v>64543312.530000001</v>
      </c>
      <c r="L51" s="50">
        <f t="shared" si="1"/>
        <v>0.8629819145303439</v>
      </c>
      <c r="M51" s="50">
        <f t="shared" si="2"/>
        <v>0.13701808546965619</v>
      </c>
    </row>
    <row r="52" spans="1:13" s="24" customFormat="1" ht="16.5" x14ac:dyDescent="0.25">
      <c r="A52" s="110"/>
      <c r="B52" s="107" t="str">
        <f>+Estado!A86</f>
        <v>E-10404</v>
      </c>
      <c r="C52" s="105" t="str">
        <f>IFERROR(VLOOKUP(B52,Estado!$A$9:$B$505,2,FALSE),0)</f>
        <v>SERV.CIEN.ECON.Y SOC</v>
      </c>
      <c r="D52" s="16">
        <f>SUMIF(Estado!$A$9:$A$368,$B52,Estado!$C$9:$C$368)</f>
        <v>0</v>
      </c>
      <c r="E52" s="16">
        <f>SUMIF(Estado!$A$9:$A$368,$B52,Estado!$D$9:$D$368)</f>
        <v>0</v>
      </c>
      <c r="F52" s="16">
        <f>SUMIF(Estado!$A$9:$A$368,$B52,Estado!$E$9:$E$368)</f>
        <v>0</v>
      </c>
      <c r="G52" s="16">
        <f>SUMIF(Estado!$A$9:$A$368,$B52,Estado!$G$9:$G$368)</f>
        <v>0</v>
      </c>
      <c r="H52" s="16">
        <f>SUMIF(Estado!$A$9:$A$368,$B52,Estado!$I$9:$I$368)</f>
        <v>0</v>
      </c>
      <c r="I52" s="16">
        <f>SUMIF(Estado!$A$9:$A$368,$B52,Estado!$K$9:$K$368)</f>
        <v>0</v>
      </c>
      <c r="J52" s="16">
        <f t="shared" si="3"/>
        <v>0</v>
      </c>
      <c r="K52" s="16">
        <f>SUMIF(Estado!$A$9:$A$368,$B52,Estado!$O$9:$O$368)</f>
        <v>0</v>
      </c>
      <c r="L52" s="50">
        <f t="shared" si="1"/>
        <v>0</v>
      </c>
      <c r="M52" s="50">
        <f t="shared" si="2"/>
        <v>0</v>
      </c>
    </row>
    <row r="53" spans="1:13" s="24" customFormat="1" ht="16.5" x14ac:dyDescent="0.25">
      <c r="A53" s="110"/>
      <c r="B53" s="107" t="str">
        <f>+Estado!A87</f>
        <v>E-10405</v>
      </c>
      <c r="C53" s="105" t="str">
        <f>IFERROR(VLOOKUP(B53,Estado!$A$9:$B$505,2,FALSE),0)</f>
        <v>SERV.DES.SIST.INFORM</v>
      </c>
      <c r="D53" s="16">
        <f>SUMIF(Estado!$A$9:$A$368,$B53,Estado!$C$9:$C$368)</f>
        <v>0</v>
      </c>
      <c r="E53" s="16">
        <f>SUMIF(Estado!$A$9:$A$368,$B53,Estado!$D$9:$D$368)</f>
        <v>0</v>
      </c>
      <c r="F53" s="16">
        <f>SUMIF(Estado!$A$9:$A$368,$B53,Estado!$E$9:$E$368)</f>
        <v>0</v>
      </c>
      <c r="G53" s="16">
        <f>SUMIF(Estado!$A$9:$A$368,$B53,Estado!$G$9:$G$368)</f>
        <v>0</v>
      </c>
      <c r="H53" s="16">
        <f>SUMIF(Estado!$A$9:$A$368,$B53,Estado!$I$9:$I$368)</f>
        <v>0</v>
      </c>
      <c r="I53" s="16">
        <f>SUMIF(Estado!$A$9:$A$368,$B53,Estado!$K$9:$K$368)</f>
        <v>0</v>
      </c>
      <c r="J53" s="16">
        <f t="shared" si="3"/>
        <v>0</v>
      </c>
      <c r="K53" s="16">
        <f>SUMIF(Estado!$A$9:$A$368,$B53,Estado!$O$9:$O$368)</f>
        <v>0</v>
      </c>
      <c r="L53" s="50">
        <f t="shared" si="1"/>
        <v>0</v>
      </c>
      <c r="M53" s="50">
        <f t="shared" si="2"/>
        <v>0</v>
      </c>
    </row>
    <row r="54" spans="1:13" s="24" customFormat="1" ht="16.5" x14ac:dyDescent="0.25">
      <c r="A54" s="110"/>
      <c r="B54" s="107" t="str">
        <f>+Estado!A88</f>
        <v>E-10406</v>
      </c>
      <c r="C54" s="105" t="str">
        <f>IFERROR(VLOOKUP(B54,Estado!$A$9:$B$505,2,FALSE),0)</f>
        <v>SERVICIOS GENERALES</v>
      </c>
      <c r="D54" s="16">
        <f>SUMIF(Estado!$A$9:$A$368,$B54,Estado!$C$9:$C$368)</f>
        <v>484796875</v>
      </c>
      <c r="E54" s="16">
        <f>SUMIF(Estado!$A$9:$A$368,$B54,Estado!$D$9:$D$368)</f>
        <v>484796875</v>
      </c>
      <c r="F54" s="16">
        <f>SUMIF(Estado!$A$9:$A$368,$B54,Estado!$E$9:$E$368)</f>
        <v>0</v>
      </c>
      <c r="G54" s="16">
        <f>SUMIF(Estado!$A$9:$A$368,$B54,Estado!$G$9:$G$368)</f>
        <v>23772267.810000002</v>
      </c>
      <c r="H54" s="16">
        <f>SUMIF(Estado!$A$9:$A$368,$B54,Estado!$I$9:$I$368)</f>
        <v>0</v>
      </c>
      <c r="I54" s="16">
        <f>SUMIF(Estado!$A$9:$A$368,$B54,Estado!$K$9:$K$368)</f>
        <v>404633171.73000002</v>
      </c>
      <c r="J54" s="16">
        <f t="shared" si="3"/>
        <v>428405439.54000002</v>
      </c>
      <c r="K54" s="16">
        <f>SUMIF(Estado!$A$9:$A$368,$B54,Estado!$O$9:$O$368)</f>
        <v>56391435.459999993</v>
      </c>
      <c r="L54" s="50">
        <f t="shared" si="1"/>
        <v>0.88368028267508947</v>
      </c>
      <c r="M54" s="50">
        <f t="shared" si="2"/>
        <v>0.11631971732491055</v>
      </c>
    </row>
    <row r="55" spans="1:13" s="24" customFormat="1" ht="16.5" x14ac:dyDescent="0.25">
      <c r="A55" s="110"/>
      <c r="B55" s="107" t="str">
        <f>+Estado!A89</f>
        <v>E-10499</v>
      </c>
      <c r="C55" s="105" t="str">
        <f>IFERROR(VLOOKUP(B55,Estado!$A$9:$B$505,2,FALSE),0)</f>
        <v>OTROS SERV.GEST.APOY</v>
      </c>
      <c r="D55" s="16">
        <f>SUMIF(Estado!$A$9:$A$368,$B55,Estado!$C$9:$C$368)</f>
        <v>101925333</v>
      </c>
      <c r="E55" s="16">
        <f>SUMIF(Estado!$A$9:$A$368,$B55,Estado!$D$9:$D$368)</f>
        <v>101925333</v>
      </c>
      <c r="F55" s="16">
        <f>SUMIF(Estado!$A$9:$A$368,$B55,Estado!$E$9:$E$368)</f>
        <v>0</v>
      </c>
      <c r="G55" s="16">
        <f>SUMIF(Estado!$A$9:$A$368,$B55,Estado!$G$9:$G$368)</f>
        <v>9283534.9399999995</v>
      </c>
      <c r="H55" s="16">
        <f>SUMIF(Estado!$A$9:$A$368,$B55,Estado!$I$9:$I$368)</f>
        <v>0</v>
      </c>
      <c r="I55" s="16">
        <f>SUMIF(Estado!$A$9:$A$368,$B55,Estado!$K$9:$K$368)</f>
        <v>40639185.100000001</v>
      </c>
      <c r="J55" s="16">
        <f t="shared" si="3"/>
        <v>49922720.039999999</v>
      </c>
      <c r="K55" s="16">
        <f>SUMIF(Estado!$A$9:$A$368,$B55,Estado!$O$9:$O$368)</f>
        <v>52002612.960000001</v>
      </c>
      <c r="L55" s="50">
        <f t="shared" si="1"/>
        <v>0.48979697755807183</v>
      </c>
      <c r="M55" s="50">
        <f t="shared" si="2"/>
        <v>0.51020302244192817</v>
      </c>
    </row>
    <row r="56" spans="1:13" s="24" customFormat="1" ht="16.5" x14ac:dyDescent="0.25">
      <c r="A56" s="110"/>
      <c r="B56" s="107" t="str">
        <f>+Estado!A90</f>
        <v>E-105</v>
      </c>
      <c r="C56" s="105" t="str">
        <f>IFERROR(VLOOKUP(B56,Estado!$A$9:$B$505,2,FALSE),0)</f>
        <v>GAST. VIAJE Y TRANSP</v>
      </c>
      <c r="D56" s="16">
        <f>SUMIF(Estado!$A$9:$A$368,$B56,Estado!$C$9:$C$368)</f>
        <v>234621038.31999999</v>
      </c>
      <c r="E56" s="16">
        <f>SUMIF(Estado!$A$9:$A$368,$B56,Estado!$D$9:$D$368)</f>
        <v>234621038.31999999</v>
      </c>
      <c r="F56" s="16">
        <f>SUMIF(Estado!$A$9:$A$368,$B56,Estado!$E$9:$E$368)</f>
        <v>0</v>
      </c>
      <c r="G56" s="16">
        <f>SUMIF(Estado!$A$9:$A$368,$B56,Estado!$G$9:$G$368)</f>
        <v>52939547.009999998</v>
      </c>
      <c r="H56" s="16">
        <f>SUMIF(Estado!$A$9:$A$368,$B56,Estado!$I$9:$I$368)</f>
        <v>0</v>
      </c>
      <c r="I56" s="16">
        <f>SUMIF(Estado!$A$9:$A$368,$B56,Estado!$K$9:$K$368)</f>
        <v>160635806.28</v>
      </c>
      <c r="J56" s="16">
        <f t="shared" si="3"/>
        <v>213575353.28999999</v>
      </c>
      <c r="K56" s="16">
        <f>SUMIF(Estado!$A$9:$A$368,$B56,Estado!$O$9:$O$368)</f>
        <v>21045685.030000001</v>
      </c>
      <c r="L56" s="50">
        <f t="shared" si="1"/>
        <v>0.91029924178710797</v>
      </c>
      <c r="M56" s="50">
        <f t="shared" si="2"/>
        <v>8.9700758212892057E-2</v>
      </c>
    </row>
    <row r="57" spans="1:13" s="24" customFormat="1" ht="16.5" x14ac:dyDescent="0.25">
      <c r="A57" s="110"/>
      <c r="B57" s="107" t="str">
        <f>+Estado!A91</f>
        <v>E-10501</v>
      </c>
      <c r="C57" s="105" t="str">
        <f>IFERROR(VLOOKUP(B57,Estado!$A$9:$B$505,2,FALSE),0)</f>
        <v>TRANSP.DENT.DEL PAÍS</v>
      </c>
      <c r="D57" s="16">
        <f>SUMIF(Estado!$A$9:$A$368,$B57,Estado!$C$9:$C$368)</f>
        <v>10868000</v>
      </c>
      <c r="E57" s="16">
        <f>SUMIF(Estado!$A$9:$A$368,$B57,Estado!$D$9:$D$368)</f>
        <v>10868000</v>
      </c>
      <c r="F57" s="16">
        <f>SUMIF(Estado!$A$9:$A$368,$B57,Estado!$E$9:$E$368)</f>
        <v>0</v>
      </c>
      <c r="G57" s="16">
        <f>SUMIF(Estado!$A$9:$A$368,$B57,Estado!$G$9:$G$368)</f>
        <v>3025710</v>
      </c>
      <c r="H57" s="16">
        <f>SUMIF(Estado!$A$9:$A$368,$B57,Estado!$I$9:$I$368)</f>
        <v>0</v>
      </c>
      <c r="I57" s="16">
        <f>SUMIF(Estado!$A$9:$A$368,$B57,Estado!$K$9:$K$368)</f>
        <v>7102555</v>
      </c>
      <c r="J57" s="16">
        <f t="shared" si="3"/>
        <v>10128265</v>
      </c>
      <c r="K57" s="16">
        <f>SUMIF(Estado!$A$9:$A$368,$B57,Estado!$O$9:$O$368)</f>
        <v>739735</v>
      </c>
      <c r="L57" s="50">
        <f t="shared" si="1"/>
        <v>0.93193457857931539</v>
      </c>
      <c r="M57" s="50">
        <f t="shared" si="2"/>
        <v>6.8065421420684585E-2</v>
      </c>
    </row>
    <row r="58" spans="1:13" s="24" customFormat="1" ht="16.5" x14ac:dyDescent="0.25">
      <c r="A58" s="110"/>
      <c r="B58" s="107" t="str">
        <f>+Estado!A92</f>
        <v>E-10502</v>
      </c>
      <c r="C58" s="105" t="str">
        <f>IFERROR(VLOOKUP(B58,Estado!$A$9:$B$505,2,FALSE),0)</f>
        <v>VIÁTICOS DENTRO PAÍS</v>
      </c>
      <c r="D58" s="16">
        <f>SUMIF(Estado!$A$9:$A$368,$B58,Estado!$C$9:$C$368)</f>
        <v>200488600</v>
      </c>
      <c r="E58" s="16">
        <f>SUMIF(Estado!$A$9:$A$368,$B58,Estado!$D$9:$D$368)</f>
        <v>200488600</v>
      </c>
      <c r="F58" s="16">
        <f>SUMIF(Estado!$A$9:$A$368,$B58,Estado!$E$9:$E$368)</f>
        <v>0</v>
      </c>
      <c r="G58" s="16">
        <f>SUMIF(Estado!$A$9:$A$368,$B58,Estado!$G$9:$G$368)</f>
        <v>49192180</v>
      </c>
      <c r="H58" s="16">
        <f>SUMIF(Estado!$A$9:$A$368,$B58,Estado!$I$9:$I$368)</f>
        <v>0</v>
      </c>
      <c r="I58" s="16">
        <f>SUMIF(Estado!$A$9:$A$368,$B58,Estado!$K$9:$K$368)</f>
        <v>138271295</v>
      </c>
      <c r="J58" s="16">
        <f t="shared" si="3"/>
        <v>187463475</v>
      </c>
      <c r="K58" s="16">
        <f>SUMIF(Estado!$A$9:$A$368,$B58,Estado!$O$9:$O$368)</f>
        <v>13025125</v>
      </c>
      <c r="L58" s="50">
        <f t="shared" si="1"/>
        <v>0.9350330891631744</v>
      </c>
      <c r="M58" s="50">
        <f t="shared" si="2"/>
        <v>6.4966910836825639E-2</v>
      </c>
    </row>
    <row r="59" spans="1:13" s="24" customFormat="1" ht="16.5" x14ac:dyDescent="0.25">
      <c r="A59" s="110"/>
      <c r="B59" s="107" t="str">
        <f>+Estado!A93</f>
        <v>E-10503</v>
      </c>
      <c r="C59" s="105" t="str">
        <f>IFERROR(VLOOKUP(B59,Estado!$A$9:$B$505,2,FALSE),0)</f>
        <v>TRANSPORTE EN EL EXT</v>
      </c>
      <c r="D59" s="16">
        <f>SUMIF(Estado!$A$9:$A$368,$B59,Estado!$C$9:$C$368)</f>
        <v>9070123.0199999996</v>
      </c>
      <c r="E59" s="16">
        <f>SUMIF(Estado!$A$9:$A$368,$B59,Estado!$D$9:$D$368)</f>
        <v>9070123.0199999996</v>
      </c>
      <c r="F59" s="16">
        <f>SUMIF(Estado!$A$9:$A$368,$B59,Estado!$E$9:$E$368)</f>
        <v>0</v>
      </c>
      <c r="G59" s="16">
        <f>SUMIF(Estado!$A$9:$A$368,$B59,Estado!$G$9:$G$368)</f>
        <v>147093</v>
      </c>
      <c r="H59" s="16">
        <f>SUMIF(Estado!$A$9:$A$368,$B59,Estado!$I$9:$I$368)</f>
        <v>0</v>
      </c>
      <c r="I59" s="16">
        <f>SUMIF(Estado!$A$9:$A$368,$B59,Estado!$K$9:$K$368)</f>
        <v>6050980.4500000002</v>
      </c>
      <c r="J59" s="16">
        <f t="shared" si="3"/>
        <v>6198073.4500000002</v>
      </c>
      <c r="K59" s="16">
        <f>SUMIF(Estado!$A$9:$A$368,$B59,Estado!$O$9:$O$368)</f>
        <v>2872049.57</v>
      </c>
      <c r="L59" s="50">
        <f t="shared" si="1"/>
        <v>0.68335053850239846</v>
      </c>
      <c r="M59" s="50">
        <f t="shared" si="2"/>
        <v>0.31664946149760159</v>
      </c>
    </row>
    <row r="60" spans="1:13" s="24" customFormat="1" ht="16.5" x14ac:dyDescent="0.25">
      <c r="A60" s="110"/>
      <c r="B60" s="107" t="str">
        <f>+Estado!A94</f>
        <v>E-10504</v>
      </c>
      <c r="C60" s="105" t="str">
        <f>IFERROR(VLOOKUP(B60,Estado!$A$9:$B$505,2,FALSE),0)</f>
        <v>VIÁTICOS EN EXTERIOR</v>
      </c>
      <c r="D60" s="16">
        <f>SUMIF(Estado!$A$9:$A$368,$B60,Estado!$C$9:$C$368)</f>
        <v>14194315.300000001</v>
      </c>
      <c r="E60" s="16">
        <f>SUMIF(Estado!$A$9:$A$368,$B60,Estado!$D$9:$D$368)</f>
        <v>14194315.300000001</v>
      </c>
      <c r="F60" s="16">
        <f>SUMIF(Estado!$A$9:$A$368,$B60,Estado!$E$9:$E$368)</f>
        <v>0</v>
      </c>
      <c r="G60" s="16">
        <f>SUMIF(Estado!$A$9:$A$368,$B60,Estado!$G$9:$G$368)</f>
        <v>574564.01</v>
      </c>
      <c r="H60" s="16">
        <f>SUMIF(Estado!$A$9:$A$368,$B60,Estado!$I$9:$I$368)</f>
        <v>0</v>
      </c>
      <c r="I60" s="16">
        <f>SUMIF(Estado!$A$9:$A$368,$B60,Estado!$K$9:$K$368)</f>
        <v>9210975.8300000001</v>
      </c>
      <c r="J60" s="16">
        <f t="shared" si="3"/>
        <v>9785539.8399999999</v>
      </c>
      <c r="K60" s="16">
        <f>SUMIF(Estado!$A$9:$A$368,$B60,Estado!$O$9:$O$368)</f>
        <v>4408775.46</v>
      </c>
      <c r="L60" s="50">
        <f t="shared" si="1"/>
        <v>0.68939851152947118</v>
      </c>
      <c r="M60" s="50">
        <f t="shared" si="2"/>
        <v>0.31060148847052876</v>
      </c>
    </row>
    <row r="61" spans="1:13" s="24" customFormat="1" ht="16.5" x14ac:dyDescent="0.25">
      <c r="A61" s="110"/>
      <c r="B61" s="107" t="str">
        <f>+Estado!A95</f>
        <v>E-106</v>
      </c>
      <c r="C61" s="105" t="str">
        <f>IFERROR(VLOOKUP(B61,Estado!$A$9:$B$505,2,FALSE),0)</f>
        <v>SEGUROS REASEG Y OTR</v>
      </c>
      <c r="D61" s="16">
        <f>SUMIF(Estado!$A$9:$A$368,$B61,Estado!$C$9:$C$368)</f>
        <v>1566930000</v>
      </c>
      <c r="E61" s="16">
        <f>SUMIF(Estado!$A$9:$A$368,$B61,Estado!$D$9:$D$368)</f>
        <v>1566930000</v>
      </c>
      <c r="F61" s="16">
        <f>SUMIF(Estado!$A$9:$A$368,$B61,Estado!$E$9:$E$368)</f>
        <v>0</v>
      </c>
      <c r="G61" s="16">
        <f>SUMIF(Estado!$A$9:$A$368,$B61,Estado!$G$9:$G$368)</f>
        <v>164799979</v>
      </c>
      <c r="H61" s="16">
        <f>SUMIF(Estado!$A$9:$A$368,$B61,Estado!$I$9:$I$368)</f>
        <v>0</v>
      </c>
      <c r="I61" s="16">
        <f>SUMIF(Estado!$A$9:$A$368,$B61,Estado!$K$9:$K$368)</f>
        <v>1177305996.5999999</v>
      </c>
      <c r="J61" s="16">
        <f t="shared" si="3"/>
        <v>1342105975.5999999</v>
      </c>
      <c r="K61" s="16">
        <f>SUMIF(Estado!$A$9:$A$368,$B61,Estado!$O$9:$O$368)</f>
        <v>224824024.40000001</v>
      </c>
      <c r="L61" s="50">
        <f t="shared" si="1"/>
        <v>0.85651942052293328</v>
      </c>
      <c r="M61" s="50">
        <f t="shared" si="2"/>
        <v>0.14348057947706663</v>
      </c>
    </row>
    <row r="62" spans="1:13" s="24" customFormat="1" ht="16.5" x14ac:dyDescent="0.25">
      <c r="A62" s="110"/>
      <c r="B62" s="107" t="str">
        <f>+Estado!A96</f>
        <v>E-10601</v>
      </c>
      <c r="C62" s="105" t="str">
        <f>IFERROR(VLOOKUP(B62,Estado!$A$9:$B$505,2,FALSE),0)</f>
        <v>SEGUROS</v>
      </c>
      <c r="D62" s="16">
        <f>SUMIF(Estado!$A$9:$A$368,$B62,Estado!$C$9:$C$368)</f>
        <v>1566930000</v>
      </c>
      <c r="E62" s="16">
        <f>SUMIF(Estado!$A$9:$A$368,$B62,Estado!$D$9:$D$368)</f>
        <v>1566930000</v>
      </c>
      <c r="F62" s="16">
        <f>SUMIF(Estado!$A$9:$A$368,$B62,Estado!$E$9:$E$368)</f>
        <v>0</v>
      </c>
      <c r="G62" s="16">
        <f>SUMIF(Estado!$A$9:$A$368,$B62,Estado!$G$9:$G$368)</f>
        <v>164799979</v>
      </c>
      <c r="H62" s="16">
        <f>SUMIF(Estado!$A$9:$A$368,$B62,Estado!$I$9:$I$368)</f>
        <v>0</v>
      </c>
      <c r="I62" s="16">
        <f>SUMIF(Estado!$A$9:$A$368,$B62,Estado!$K$9:$K$368)</f>
        <v>1177305996.5999999</v>
      </c>
      <c r="J62" s="16">
        <f t="shared" si="3"/>
        <v>1342105975.5999999</v>
      </c>
      <c r="K62" s="16">
        <f>SUMIF(Estado!$A$9:$A$368,$B62,Estado!$O$9:$O$368)</f>
        <v>224824024.40000001</v>
      </c>
      <c r="L62" s="50">
        <f t="shared" si="1"/>
        <v>0.85651942052293328</v>
      </c>
      <c r="M62" s="50">
        <f t="shared" si="2"/>
        <v>0.14348057947706663</v>
      </c>
    </row>
    <row r="63" spans="1:13" s="24" customFormat="1" ht="16.5" x14ac:dyDescent="0.25">
      <c r="A63" s="110"/>
      <c r="B63" s="107" t="str">
        <f>+Estado!A97</f>
        <v>E-10602</v>
      </c>
      <c r="C63" s="105" t="str">
        <f>IFERROR(VLOOKUP(B63,Estado!$A$9:$B$505,2,FALSE),0)</f>
        <v>REASEGUROS</v>
      </c>
      <c r="D63" s="16">
        <f>SUMIF(Estado!$A$9:$A$368,$B63,Estado!$C$9:$C$368)</f>
        <v>0</v>
      </c>
      <c r="E63" s="16">
        <f>SUMIF(Estado!$A$9:$A$368,$B63,Estado!$D$9:$D$368)</f>
        <v>0</v>
      </c>
      <c r="F63" s="16">
        <f>SUMIF(Estado!$A$9:$A$368,$B63,Estado!$E$9:$E$368)</f>
        <v>0</v>
      </c>
      <c r="G63" s="16">
        <f>SUMIF(Estado!$A$9:$A$368,$B63,Estado!$G$9:$G$368)</f>
        <v>0</v>
      </c>
      <c r="H63" s="16">
        <f>SUMIF(Estado!$A$9:$A$368,$B63,Estado!$I$9:$I$368)</f>
        <v>0</v>
      </c>
      <c r="I63" s="16">
        <f>SUMIF(Estado!$A$9:$A$368,$B63,Estado!$K$9:$K$368)</f>
        <v>0</v>
      </c>
      <c r="J63" s="16">
        <f t="shared" ref="J63" si="6">SUM(G63:I63)</f>
        <v>0</v>
      </c>
      <c r="K63" s="16">
        <f>SUMIF(Estado!$A$9:$A$368,$B63,Estado!$O$9:$O$368)</f>
        <v>0</v>
      </c>
      <c r="L63" s="50">
        <f t="shared" ref="L63" si="7">+IFERROR(SUM(G63:I63)/D63,0)</f>
        <v>0</v>
      </c>
      <c r="M63" s="50">
        <f t="shared" ref="M63" si="8">+IFERROR(+K63/D63,0)</f>
        <v>0</v>
      </c>
    </row>
    <row r="64" spans="1:13" s="24" customFormat="1" ht="16.5" x14ac:dyDescent="0.25">
      <c r="A64" s="110"/>
      <c r="B64" s="107" t="str">
        <f>+Estado!A98</f>
        <v>E-107</v>
      </c>
      <c r="C64" s="105" t="str">
        <f>IFERROR(VLOOKUP(B64,Estado!$A$9:$B$505,2,FALSE),0)</f>
        <v>CAPACIT. Y PROTOCOLO</v>
      </c>
      <c r="D64" s="16">
        <f>SUMIF(Estado!$A$9:$A$368,$B64,Estado!$C$9:$C$368)</f>
        <v>26838000</v>
      </c>
      <c r="E64" s="16">
        <f>SUMIF(Estado!$A$9:$A$368,$B64,Estado!$D$9:$D$368)</f>
        <v>26838000</v>
      </c>
      <c r="F64" s="16">
        <f>SUMIF(Estado!$A$9:$A$368,$B64,Estado!$E$9:$E$368)</f>
        <v>0</v>
      </c>
      <c r="G64" s="16">
        <f>SUMIF(Estado!$A$9:$A$368,$B64,Estado!$G$9:$G$368)</f>
        <v>152162.79999999999</v>
      </c>
      <c r="H64" s="16">
        <f>SUMIF(Estado!$A$9:$A$368,$B64,Estado!$I$9:$I$368)</f>
        <v>0</v>
      </c>
      <c r="I64" s="16">
        <f>SUMIF(Estado!$A$9:$A$368,$B64,Estado!$K$9:$K$368)</f>
        <v>25378839.059999999</v>
      </c>
      <c r="J64" s="16">
        <f t="shared" si="3"/>
        <v>25531001.859999999</v>
      </c>
      <c r="K64" s="16">
        <f>SUMIF(Estado!$A$9:$A$368,$B64,Estado!$O$9:$O$368)</f>
        <v>1306998.1399999999</v>
      </c>
      <c r="L64" s="50">
        <f t="shared" si="1"/>
        <v>0.95130046426708392</v>
      </c>
      <c r="M64" s="50">
        <f t="shared" si="2"/>
        <v>4.8699535732916008E-2</v>
      </c>
    </row>
    <row r="65" spans="1:13" s="24" customFormat="1" ht="16.5" x14ac:dyDescent="0.25">
      <c r="A65" s="110"/>
      <c r="B65" s="107" t="str">
        <f>+Estado!A99</f>
        <v>E-10701</v>
      </c>
      <c r="C65" s="105" t="str">
        <f>IFERROR(VLOOKUP(B65,Estado!$A$9:$B$505,2,FALSE),0)</f>
        <v>ACTIV. CAPACITACIÓN</v>
      </c>
      <c r="D65" s="16">
        <f>SUMIF(Estado!$A$9:$A$368,$B65,Estado!$C$9:$C$368)</f>
        <v>24366000</v>
      </c>
      <c r="E65" s="16">
        <f>SUMIF(Estado!$A$9:$A$368,$B65,Estado!$D$9:$D$368)</f>
        <v>24366000</v>
      </c>
      <c r="F65" s="16">
        <f>SUMIF(Estado!$A$9:$A$368,$B65,Estado!$E$9:$E$368)</f>
        <v>0</v>
      </c>
      <c r="G65" s="16">
        <f>SUMIF(Estado!$A$9:$A$368,$B65,Estado!$G$9:$G$368)</f>
        <v>52162.8</v>
      </c>
      <c r="H65" s="16">
        <f>SUMIF(Estado!$A$9:$A$368,$B65,Estado!$I$9:$I$368)</f>
        <v>0</v>
      </c>
      <c r="I65" s="16">
        <f>SUMIF(Estado!$A$9:$A$368,$B65,Estado!$K$9:$K$368)</f>
        <v>24221161</v>
      </c>
      <c r="J65" s="16">
        <f t="shared" si="3"/>
        <v>24273323.800000001</v>
      </c>
      <c r="K65" s="16">
        <f>SUMIF(Estado!$A$9:$A$368,$B65,Estado!$O$9:$O$368)</f>
        <v>92676.2</v>
      </c>
      <c r="L65" s="50">
        <f t="shared" si="1"/>
        <v>0.9961964951161455</v>
      </c>
      <c r="M65" s="50">
        <f t="shared" si="2"/>
        <v>3.8035048838545513E-3</v>
      </c>
    </row>
    <row r="66" spans="1:13" s="23" customFormat="1" ht="16.5" x14ac:dyDescent="0.25">
      <c r="A66" s="108"/>
      <c r="B66" s="107" t="str">
        <f>+Estado!A100</f>
        <v>E-10702</v>
      </c>
      <c r="C66" s="105" t="str">
        <f>IFERROR(VLOOKUP(B66,Estado!$A$9:$B$505,2,FALSE),0)</f>
        <v>ACTIV.PROTOCOL Y SOC</v>
      </c>
      <c r="D66" s="16">
        <f>SUMIF(Estado!$A$9:$A$368,$B66,Estado!$C$9:$C$368)</f>
        <v>1872000</v>
      </c>
      <c r="E66" s="16">
        <f>SUMIF(Estado!$A$9:$A$368,$B66,Estado!$D$9:$D$368)</f>
        <v>1872000</v>
      </c>
      <c r="F66" s="16">
        <f>SUMIF(Estado!$A$9:$A$368,$B66,Estado!$E$9:$E$368)</f>
        <v>0</v>
      </c>
      <c r="G66" s="16">
        <f>SUMIF(Estado!$A$9:$A$368,$B66,Estado!$G$9:$G$368)</f>
        <v>0</v>
      </c>
      <c r="H66" s="16">
        <f>SUMIF(Estado!$A$9:$A$368,$B66,Estado!$I$9:$I$368)</f>
        <v>0</v>
      </c>
      <c r="I66" s="16">
        <f>SUMIF(Estado!$A$9:$A$368,$B66,Estado!$K$9:$K$368)</f>
        <v>972813.09</v>
      </c>
      <c r="J66" s="16">
        <f t="shared" ref="J66" si="9">SUM(G66:I66)</f>
        <v>972813.09</v>
      </c>
      <c r="K66" s="16">
        <f>SUMIF(Estado!$A$9:$A$368,$B66,Estado!$O$9:$O$368)</f>
        <v>899186.91</v>
      </c>
      <c r="L66" s="50">
        <f t="shared" si="1"/>
        <v>0.51966511217948719</v>
      </c>
      <c r="M66" s="50">
        <f t="shared" si="2"/>
        <v>0.48033488782051281</v>
      </c>
    </row>
    <row r="67" spans="1:13" s="24" customFormat="1" ht="16.5" x14ac:dyDescent="0.25">
      <c r="A67" s="110"/>
      <c r="B67" s="107" t="str">
        <f>+Estado!A101</f>
        <v>E-10703</v>
      </c>
      <c r="C67" s="105" t="str">
        <f>IFERROR(VLOOKUP(B67,Estado!$A$9:$B$505,2,FALSE),0)</f>
        <v>GASTOS REPRES.INSTIT</v>
      </c>
      <c r="D67" s="16">
        <f>SUMIF(Estado!$A$9:$A$368,$B67,Estado!$C$9:$C$368)</f>
        <v>600000</v>
      </c>
      <c r="E67" s="16">
        <f>SUMIF(Estado!$A$9:$A$368,$B67,Estado!$D$9:$D$368)</f>
        <v>600000</v>
      </c>
      <c r="F67" s="16">
        <f>SUMIF(Estado!$A$9:$A$368,$B67,Estado!$E$9:$E$368)</f>
        <v>0</v>
      </c>
      <c r="G67" s="16">
        <f>SUMIF(Estado!$A$9:$A$368,$B67,Estado!$G$9:$G$368)</f>
        <v>100000</v>
      </c>
      <c r="H67" s="16">
        <f>SUMIF(Estado!$A$9:$A$368,$B67,Estado!$I$9:$I$368)</f>
        <v>0</v>
      </c>
      <c r="I67" s="16">
        <f>SUMIF(Estado!$A$9:$A$368,$B67,Estado!$K$9:$K$368)</f>
        <v>184864.97</v>
      </c>
      <c r="J67" s="16">
        <f t="shared" ref="J67" si="10">SUM(G67:I67)</f>
        <v>284864.96999999997</v>
      </c>
      <c r="K67" s="16">
        <f>SUMIF(Estado!$A$9:$A$368,$B67,Estado!$O$9:$O$368)</f>
        <v>315135.03000000003</v>
      </c>
      <c r="L67" s="50">
        <f t="shared" si="1"/>
        <v>0.47477494999999997</v>
      </c>
      <c r="M67" s="50">
        <f t="shared" si="2"/>
        <v>0.52522505000000008</v>
      </c>
    </row>
    <row r="68" spans="1:13" s="24" customFormat="1" ht="16.5" x14ac:dyDescent="0.25">
      <c r="A68" s="110"/>
      <c r="B68" s="107" t="str">
        <f>+Estado!A102</f>
        <v>E-108</v>
      </c>
      <c r="C68" s="105" t="str">
        <f>IFERROR(VLOOKUP(B68,Estado!$A$9:$B$505,2,FALSE),0)</f>
        <v>MANTEN. Y REPARACIÓN</v>
      </c>
      <c r="D68" s="16">
        <f>SUMIF(Estado!$A$9:$A$368,$B68,Estado!$C$9:$C$368)</f>
        <v>941850575</v>
      </c>
      <c r="E68" s="16">
        <f>SUMIF(Estado!$A$9:$A$368,$B68,Estado!$D$9:$D$368)</f>
        <v>941850575</v>
      </c>
      <c r="F68" s="16">
        <f>SUMIF(Estado!$A$9:$A$368,$B68,Estado!$E$9:$E$368)</f>
        <v>0</v>
      </c>
      <c r="G68" s="16">
        <f>SUMIF(Estado!$A$9:$A$368,$B68,Estado!$G$9:$G$368)</f>
        <v>256059845.31</v>
      </c>
      <c r="H68" s="16">
        <f>SUMIF(Estado!$A$9:$A$368,$B68,Estado!$I$9:$I$368)</f>
        <v>0</v>
      </c>
      <c r="I68" s="16">
        <f>SUMIF(Estado!$A$9:$A$368,$B68,Estado!$K$9:$K$368)</f>
        <v>504575688.84000003</v>
      </c>
      <c r="J68" s="16">
        <f t="shared" si="3"/>
        <v>760635534.1500001</v>
      </c>
      <c r="K68" s="16">
        <f>SUMIF(Estado!$A$9:$A$368,$B68,Estado!$O$9:$O$368)</f>
        <v>181215040.85000002</v>
      </c>
      <c r="L68" s="50">
        <f t="shared" si="1"/>
        <v>0.80759682516518094</v>
      </c>
      <c r="M68" s="50">
        <f t="shared" si="2"/>
        <v>0.19240317483481922</v>
      </c>
    </row>
    <row r="69" spans="1:13" s="24" customFormat="1" ht="16.5" x14ac:dyDescent="0.25">
      <c r="A69" s="110"/>
      <c r="B69" s="107" t="str">
        <f>+Estado!A103</f>
        <v>E-10801</v>
      </c>
      <c r="C69" s="105" t="str">
        <f>IFERROR(VLOOKUP(B69,Estado!$A$9:$B$505,2,FALSE),0)</f>
        <v>MANT.EDIF.,LOC.YTERR</v>
      </c>
      <c r="D69" s="16">
        <f>SUMIF(Estado!$A$9:$A$368,$B69,Estado!$C$9:$C$368)</f>
        <v>128087087</v>
      </c>
      <c r="E69" s="16">
        <f>SUMIF(Estado!$A$9:$A$368,$B69,Estado!$D$9:$D$368)</f>
        <v>128087087</v>
      </c>
      <c r="F69" s="16">
        <f>SUMIF(Estado!$A$9:$A$368,$B69,Estado!$E$9:$E$368)</f>
        <v>0</v>
      </c>
      <c r="G69" s="16">
        <f>SUMIF(Estado!$A$9:$A$368,$B69,Estado!$G$9:$G$368)</f>
        <v>3649549.85</v>
      </c>
      <c r="H69" s="16">
        <f>SUMIF(Estado!$A$9:$A$368,$B69,Estado!$I$9:$I$368)</f>
        <v>0</v>
      </c>
      <c r="I69" s="16">
        <f>SUMIF(Estado!$A$9:$A$368,$B69,Estado!$K$9:$K$368)</f>
        <v>11839958.9</v>
      </c>
      <c r="J69" s="16">
        <f t="shared" si="3"/>
        <v>15489508.75</v>
      </c>
      <c r="K69" s="16">
        <f>SUMIF(Estado!$A$9:$A$368,$B69,Estado!$O$9:$O$368)</f>
        <v>112597578.25</v>
      </c>
      <c r="L69" s="50">
        <f t="shared" ref="L69:L132" si="11">+IFERROR(SUM(G69:I69)/D69,0)</f>
        <v>0.12092951063833625</v>
      </c>
      <c r="M69" s="50">
        <f t="shared" ref="M69:M132" si="12">+IFERROR(+K69/D69,0)</f>
        <v>0.87907048936166376</v>
      </c>
    </row>
    <row r="70" spans="1:13" s="24" customFormat="1" ht="16.5" x14ac:dyDescent="0.25">
      <c r="A70" s="110"/>
      <c r="B70" s="107" t="str">
        <f>+Estado!A104</f>
        <v>E-10804</v>
      </c>
      <c r="C70" s="105" t="str">
        <f>IFERROR(VLOOKUP(B70,Estado!$A$9:$B$505,2,FALSE),0)</f>
        <v>MANT.Y REP.M.EQ.PROD</v>
      </c>
      <c r="D70" s="16">
        <f>SUMIF(Estado!$A$9:$A$368,$B70,Estado!$C$9:$C$368)</f>
        <v>331910642</v>
      </c>
      <c r="E70" s="16">
        <f>SUMIF(Estado!$A$9:$A$368,$B70,Estado!$D$9:$D$368)</f>
        <v>331910642</v>
      </c>
      <c r="F70" s="16">
        <f>SUMIF(Estado!$A$9:$A$368,$B70,Estado!$E$9:$E$368)</f>
        <v>0</v>
      </c>
      <c r="G70" s="16">
        <f>SUMIF(Estado!$A$9:$A$368,$B70,Estado!$G$9:$G$368)</f>
        <v>135135532.81</v>
      </c>
      <c r="H70" s="16">
        <f>SUMIF(Estado!$A$9:$A$368,$B70,Estado!$I$9:$I$368)</f>
        <v>0</v>
      </c>
      <c r="I70" s="16">
        <f>SUMIF(Estado!$A$9:$A$368,$B70,Estado!$K$9:$K$368)</f>
        <v>195642414.66000003</v>
      </c>
      <c r="J70" s="16">
        <f t="shared" ref="J70:J133" si="13">SUM(G70:I70)</f>
        <v>330777947.47000003</v>
      </c>
      <c r="K70" s="16">
        <f>SUMIF(Estado!$A$9:$A$368,$B70,Estado!$O$9:$O$368)</f>
        <v>1132694.5299999998</v>
      </c>
      <c r="L70" s="50">
        <f t="shared" si="11"/>
        <v>0.99658735097141005</v>
      </c>
      <c r="M70" s="50">
        <f t="shared" si="12"/>
        <v>3.4126490285900498E-3</v>
      </c>
    </row>
    <row r="71" spans="1:13" s="24" customFormat="1" ht="16.5" x14ac:dyDescent="0.25">
      <c r="A71" s="110"/>
      <c r="B71" s="107" t="str">
        <f>+Estado!A105</f>
        <v>E-10805</v>
      </c>
      <c r="C71" s="105" t="str">
        <f>IFERROR(VLOOKUP(B71,Estado!$A$9:$B$505,2,FALSE),0)</f>
        <v>MANT.Y REP.EQ.TRANSP</v>
      </c>
      <c r="D71" s="16">
        <f>SUMIF(Estado!$A$9:$A$368,$B71,Estado!$C$9:$C$368)</f>
        <v>196330000</v>
      </c>
      <c r="E71" s="16">
        <f>SUMIF(Estado!$A$9:$A$368,$B71,Estado!$D$9:$D$368)</f>
        <v>196330000</v>
      </c>
      <c r="F71" s="16">
        <f>SUMIF(Estado!$A$9:$A$368,$B71,Estado!$E$9:$E$368)</f>
        <v>0</v>
      </c>
      <c r="G71" s="16">
        <f>SUMIF(Estado!$A$9:$A$368,$B71,Estado!$G$9:$G$368)</f>
        <v>63159809.380000003</v>
      </c>
      <c r="H71" s="16">
        <f>SUMIF(Estado!$A$9:$A$368,$B71,Estado!$I$9:$I$368)</f>
        <v>0</v>
      </c>
      <c r="I71" s="16">
        <f>SUMIF(Estado!$A$9:$A$368,$B71,Estado!$K$9:$K$368)</f>
        <v>118538946.40000001</v>
      </c>
      <c r="J71" s="16">
        <f t="shared" si="13"/>
        <v>181698755.78</v>
      </c>
      <c r="K71" s="16">
        <f>SUMIF(Estado!$A$9:$A$368,$B71,Estado!$O$9:$O$368)</f>
        <v>14631244.220000001</v>
      </c>
      <c r="L71" s="50">
        <f t="shared" si="11"/>
        <v>0.92547626842560993</v>
      </c>
      <c r="M71" s="50">
        <f t="shared" si="12"/>
        <v>7.4523731574390059E-2</v>
      </c>
    </row>
    <row r="72" spans="1:13" s="24" customFormat="1" ht="16.5" x14ac:dyDescent="0.25">
      <c r="A72" s="110"/>
      <c r="B72" s="107" t="str">
        <f>+Estado!A106</f>
        <v>E-10806</v>
      </c>
      <c r="C72" s="105" t="str">
        <f>IFERROR(VLOOKUP(B72,Estado!$A$9:$B$505,2,FALSE),0)</f>
        <v>MANT.Y REP.EQ.COMUNI</v>
      </c>
      <c r="D72" s="16">
        <f>SUMIF(Estado!$A$9:$A$368,$B72,Estado!$C$9:$C$368)</f>
        <v>9463000</v>
      </c>
      <c r="E72" s="16">
        <f>SUMIF(Estado!$A$9:$A$368,$B72,Estado!$D$9:$D$368)</f>
        <v>9463000</v>
      </c>
      <c r="F72" s="16">
        <f>SUMIF(Estado!$A$9:$A$368,$B72,Estado!$E$9:$E$368)</f>
        <v>0</v>
      </c>
      <c r="G72" s="16">
        <f>SUMIF(Estado!$A$9:$A$368,$B72,Estado!$G$9:$G$368)</f>
        <v>0</v>
      </c>
      <c r="H72" s="16">
        <f>SUMIF(Estado!$A$9:$A$368,$B72,Estado!$I$9:$I$368)</f>
        <v>0</v>
      </c>
      <c r="I72" s="16">
        <f>SUMIF(Estado!$A$9:$A$368,$B72,Estado!$K$9:$K$368)</f>
        <v>7564640.3499999996</v>
      </c>
      <c r="J72" s="16">
        <f t="shared" si="13"/>
        <v>7564640.3499999996</v>
      </c>
      <c r="K72" s="16">
        <f>SUMIF(Estado!$A$9:$A$368,$B72,Estado!$O$9:$O$368)</f>
        <v>1898359.65</v>
      </c>
      <c r="L72" s="50">
        <f t="shared" si="11"/>
        <v>0.79939135052308985</v>
      </c>
      <c r="M72" s="50">
        <f t="shared" si="12"/>
        <v>0.20060864947691007</v>
      </c>
    </row>
    <row r="73" spans="1:13" s="24" customFormat="1" ht="16.5" x14ac:dyDescent="0.25">
      <c r="A73" s="110"/>
      <c r="B73" s="107" t="str">
        <f>+Estado!A107</f>
        <v>E-10807</v>
      </c>
      <c r="C73" s="105" t="str">
        <f>IFERROR(VLOOKUP(B73,Estado!$A$9:$B$505,2,FALSE),0)</f>
        <v>MANT.Y REP.EQ.MOB.OF</v>
      </c>
      <c r="D73" s="16">
        <f>SUMIF(Estado!$A$9:$A$368,$B73,Estado!$C$9:$C$368)</f>
        <v>34430759</v>
      </c>
      <c r="E73" s="16">
        <f>SUMIF(Estado!$A$9:$A$368,$B73,Estado!$D$9:$D$368)</f>
        <v>34430759</v>
      </c>
      <c r="F73" s="16">
        <f>SUMIF(Estado!$A$9:$A$368,$B73,Estado!$E$9:$E$368)</f>
        <v>0</v>
      </c>
      <c r="G73" s="16">
        <f>SUMIF(Estado!$A$9:$A$368,$B73,Estado!$G$9:$G$368)</f>
        <v>9750600</v>
      </c>
      <c r="H73" s="16">
        <f>SUMIF(Estado!$A$9:$A$368,$B73,Estado!$I$9:$I$368)</f>
        <v>0</v>
      </c>
      <c r="I73" s="16">
        <f>SUMIF(Estado!$A$9:$A$368,$B73,Estado!$K$9:$K$368)</f>
        <v>18765253.399999999</v>
      </c>
      <c r="J73" s="16">
        <f t="shared" si="13"/>
        <v>28515853.399999999</v>
      </c>
      <c r="K73" s="16">
        <f>SUMIF(Estado!$A$9:$A$368,$B73,Estado!$O$9:$O$368)</f>
        <v>5914905.5999999996</v>
      </c>
      <c r="L73" s="50">
        <f t="shared" si="11"/>
        <v>0.82820867817639454</v>
      </c>
      <c r="M73" s="50">
        <f t="shared" si="12"/>
        <v>0.17179132182360546</v>
      </c>
    </row>
    <row r="74" spans="1:13" s="24" customFormat="1" ht="16.5" x14ac:dyDescent="0.25">
      <c r="A74" s="110"/>
      <c r="B74" s="107" t="str">
        <f>+Estado!A108</f>
        <v>E-10808</v>
      </c>
      <c r="C74" s="105" t="str">
        <f>IFERROR(VLOOKUP(B74,Estado!$A$9:$B$505,2,FALSE),0)</f>
        <v>MANT.YREP.EQ.C.S.INF</v>
      </c>
      <c r="D74" s="16">
        <f>SUMIF(Estado!$A$9:$A$368,$B74,Estado!$C$9:$C$368)</f>
        <v>74592119</v>
      </c>
      <c r="E74" s="16">
        <f>SUMIF(Estado!$A$9:$A$368,$B74,Estado!$D$9:$D$368)</f>
        <v>74592119</v>
      </c>
      <c r="F74" s="16">
        <f>SUMIF(Estado!$A$9:$A$368,$B74,Estado!$E$9:$E$368)</f>
        <v>0</v>
      </c>
      <c r="G74" s="16">
        <f>SUMIF(Estado!$A$9:$A$368,$B74,Estado!$G$9:$G$368)</f>
        <v>12096474.789999999</v>
      </c>
      <c r="H74" s="16">
        <f>SUMIF(Estado!$A$9:$A$368,$B74,Estado!$I$9:$I$368)</f>
        <v>0</v>
      </c>
      <c r="I74" s="16">
        <f>SUMIF(Estado!$A$9:$A$368,$B74,Estado!$K$9:$K$368)</f>
        <v>29167831.039999999</v>
      </c>
      <c r="J74" s="16">
        <f t="shared" si="13"/>
        <v>41264305.829999998</v>
      </c>
      <c r="K74" s="16">
        <f>SUMIF(Estado!$A$9:$A$368,$B74,Estado!$O$9:$O$368)</f>
        <v>33327813.169999998</v>
      </c>
      <c r="L74" s="50">
        <f t="shared" si="11"/>
        <v>0.5531992706897092</v>
      </c>
      <c r="M74" s="50">
        <f t="shared" si="12"/>
        <v>0.4468007293102908</v>
      </c>
    </row>
    <row r="75" spans="1:13" s="24" customFormat="1" ht="16.5" x14ac:dyDescent="0.25">
      <c r="A75" s="110"/>
      <c r="B75" s="107" t="str">
        <f>+Estado!A109</f>
        <v>E-10899</v>
      </c>
      <c r="C75" s="105" t="str">
        <f>IFERROR(VLOOKUP(B75,Estado!$A$9:$B$505,2,FALSE),0)</f>
        <v>MANT.Y REP.OTROS EQ.</v>
      </c>
      <c r="D75" s="16">
        <f>SUMIF(Estado!$A$9:$A$368,$B75,Estado!$C$9:$C$368)</f>
        <v>167036968</v>
      </c>
      <c r="E75" s="16">
        <f>SUMIF(Estado!$A$9:$A$368,$B75,Estado!$D$9:$D$368)</f>
        <v>167036968</v>
      </c>
      <c r="F75" s="16">
        <f>SUMIF(Estado!$A$9:$A$368,$B75,Estado!$E$9:$E$368)</f>
        <v>0</v>
      </c>
      <c r="G75" s="16">
        <f>SUMIF(Estado!$A$9:$A$368,$B75,Estado!$G$9:$G$368)</f>
        <v>32267878.48</v>
      </c>
      <c r="H75" s="16">
        <f>SUMIF(Estado!$A$9:$A$368,$B75,Estado!$I$9:$I$368)</f>
        <v>0</v>
      </c>
      <c r="I75" s="16">
        <f>SUMIF(Estado!$A$9:$A$368,$B75,Estado!$K$9:$K$368)</f>
        <v>123056644.09</v>
      </c>
      <c r="J75" s="16">
        <f t="shared" si="13"/>
        <v>155324522.56999999</v>
      </c>
      <c r="K75" s="16">
        <f>SUMIF(Estado!$A$9:$A$368,$B75,Estado!$O$9:$O$368)</f>
        <v>11712445.43</v>
      </c>
      <c r="L75" s="50">
        <f t="shared" si="11"/>
        <v>0.92988111811272811</v>
      </c>
      <c r="M75" s="50">
        <f t="shared" si="12"/>
        <v>7.0118881887271806E-2</v>
      </c>
    </row>
    <row r="76" spans="1:13" s="24" customFormat="1" ht="16.5" x14ac:dyDescent="0.25">
      <c r="A76" s="110"/>
      <c r="B76" s="107" t="str">
        <f>+Estado!A110</f>
        <v>E-109</v>
      </c>
      <c r="C76" s="105" t="str">
        <f>IFERROR(VLOOKUP(B76,Estado!$A$9:$B$505,2,FALSE),0)</f>
        <v>IMPUESTOS</v>
      </c>
      <c r="D76" s="16">
        <f>SUMIF(Estado!$A$9:$A$368,$B76,Estado!$C$9:$C$368)</f>
        <v>19170000</v>
      </c>
      <c r="E76" s="16">
        <f>SUMIF(Estado!$A$9:$A$368,$B76,Estado!$D$9:$D$368)</f>
        <v>19170000</v>
      </c>
      <c r="F76" s="16">
        <f>SUMIF(Estado!$A$9:$A$368,$B76,Estado!$E$9:$E$368)</f>
        <v>0</v>
      </c>
      <c r="G76" s="16">
        <f>SUMIF(Estado!$A$9:$A$368,$B76,Estado!$G$9:$G$368)</f>
        <v>3950323</v>
      </c>
      <c r="H76" s="16">
        <f>SUMIF(Estado!$A$9:$A$368,$B76,Estado!$I$9:$I$368)</f>
        <v>0</v>
      </c>
      <c r="I76" s="16">
        <f>SUMIF(Estado!$A$9:$A$368,$B76,Estado!$K$9:$K$368)</f>
        <v>10511491</v>
      </c>
      <c r="J76" s="16">
        <f t="shared" si="13"/>
        <v>14461814</v>
      </c>
      <c r="K76" s="16">
        <f>SUMIF(Estado!$A$9:$A$368,$B76,Estado!$O$9:$O$368)</f>
        <v>4708186</v>
      </c>
      <c r="L76" s="50">
        <f t="shared" si="11"/>
        <v>0.75439822639540954</v>
      </c>
      <c r="M76" s="50">
        <f t="shared" si="12"/>
        <v>0.24560177360459051</v>
      </c>
    </row>
    <row r="77" spans="1:13" s="24" customFormat="1" ht="16.5" x14ac:dyDescent="0.25">
      <c r="A77" s="110"/>
      <c r="B77" s="107" t="str">
        <f>+Estado!A111</f>
        <v>E-10999</v>
      </c>
      <c r="C77" s="105" t="str">
        <f>IFERROR(VLOOKUP(B77,Estado!$A$9:$B$505,2,FALSE),0)</f>
        <v>TROS IMPUESTOS</v>
      </c>
      <c r="D77" s="16">
        <f>SUMIF(Estado!$A$9:$A$368,$B77,Estado!$C$9:$C$368)</f>
        <v>19170000</v>
      </c>
      <c r="E77" s="16">
        <f>SUMIF(Estado!$A$9:$A$368,$B77,Estado!$D$9:$D$368)</f>
        <v>19170000</v>
      </c>
      <c r="F77" s="16">
        <f>SUMIF(Estado!$A$9:$A$368,$B77,Estado!$E$9:$E$368)</f>
        <v>0</v>
      </c>
      <c r="G77" s="16">
        <f>SUMIF(Estado!$A$9:$A$368,$B77,Estado!$G$9:$G$368)</f>
        <v>3950323</v>
      </c>
      <c r="H77" s="16">
        <f>SUMIF(Estado!$A$9:$A$368,$B77,Estado!$I$9:$I$368)</f>
        <v>0</v>
      </c>
      <c r="I77" s="16">
        <f>SUMIF(Estado!$A$9:$A$368,$B77,Estado!$K$9:$K$368)</f>
        <v>10511491</v>
      </c>
      <c r="J77" s="16">
        <f t="shared" si="13"/>
        <v>14461814</v>
      </c>
      <c r="K77" s="16">
        <f>SUMIF(Estado!$A$9:$A$368,$B77,Estado!$O$9:$O$368)</f>
        <v>4708186</v>
      </c>
      <c r="L77" s="50">
        <f t="shared" si="11"/>
        <v>0.75439822639540954</v>
      </c>
      <c r="M77" s="50">
        <f t="shared" si="12"/>
        <v>0.24560177360459051</v>
      </c>
    </row>
    <row r="78" spans="1:13" s="24" customFormat="1" ht="16.5" x14ac:dyDescent="0.25">
      <c r="A78" s="110"/>
      <c r="B78" s="107" t="str">
        <f>+Estado!A112</f>
        <v>E-199</v>
      </c>
      <c r="C78" s="105" t="str">
        <f>IFERROR(VLOOKUP(B78,Estado!$A$9:$B$505,2,FALSE),0)</f>
        <v>SERVICIOS DIVERSOS</v>
      </c>
      <c r="D78" s="16">
        <f>SUMIF(Estado!$A$9:$A$368,$B78,Estado!$C$9:$C$368)</f>
        <v>89568515</v>
      </c>
      <c r="E78" s="16">
        <f>SUMIF(Estado!$A$9:$A$368,$B78,Estado!$D$9:$D$368)</f>
        <v>89568515</v>
      </c>
      <c r="F78" s="16">
        <f>SUMIF(Estado!$A$9:$A$368,$B78,Estado!$E$9:$E$368)</f>
        <v>0</v>
      </c>
      <c r="G78" s="16">
        <f>SUMIF(Estado!$A$9:$A$368,$B78,Estado!$G$9:$G$368)</f>
        <v>63583572.490000002</v>
      </c>
      <c r="H78" s="16">
        <f>SUMIF(Estado!$A$9:$A$368,$B78,Estado!$I$9:$I$368)</f>
        <v>0</v>
      </c>
      <c r="I78" s="16">
        <f>SUMIF(Estado!$A$9:$A$368,$B78,Estado!$K$9:$K$368)</f>
        <v>19810708.91</v>
      </c>
      <c r="J78" s="16">
        <f t="shared" si="13"/>
        <v>83394281.400000006</v>
      </c>
      <c r="K78" s="16">
        <f>SUMIF(Estado!$A$9:$A$368,$B78,Estado!$O$9:$O$368)</f>
        <v>6174233.5999999996</v>
      </c>
      <c r="L78" s="50">
        <f t="shared" si="11"/>
        <v>0.9310669201113807</v>
      </c>
      <c r="M78" s="50">
        <f t="shared" si="12"/>
        <v>6.8933079888619339E-2</v>
      </c>
    </row>
    <row r="79" spans="1:13" s="24" customFormat="1" ht="16.5" x14ac:dyDescent="0.25">
      <c r="A79" s="110"/>
      <c r="B79" s="107" t="str">
        <f>+Estado!A113</f>
        <v>E-19901</v>
      </c>
      <c r="C79" s="105" t="str">
        <f>IFERROR(VLOOKUP(B79,Estado!$A$9:$B$505,2,FALSE),0)</f>
        <v>SERV. DE REGULACIÓN</v>
      </c>
      <c r="D79" s="16">
        <f>SUMIF(Estado!$A$9:$A$368,$B79,Estado!$C$9:$C$368)</f>
        <v>2268515</v>
      </c>
      <c r="E79" s="16">
        <f>SUMIF(Estado!$A$9:$A$368,$B79,Estado!$D$9:$D$368)</f>
        <v>2268515</v>
      </c>
      <c r="F79" s="16">
        <f>SUMIF(Estado!$A$9:$A$368,$B79,Estado!$E$9:$E$368)</f>
        <v>0</v>
      </c>
      <c r="G79" s="16">
        <f>SUMIF(Estado!$A$9:$A$368,$B79,Estado!$G$9:$G$368)</f>
        <v>466174</v>
      </c>
      <c r="H79" s="16">
        <f>SUMIF(Estado!$A$9:$A$368,$B79,Estado!$I$9:$I$368)</f>
        <v>0</v>
      </c>
      <c r="I79" s="16">
        <f>SUMIF(Estado!$A$9:$A$368,$B79,Estado!$K$9:$K$368)</f>
        <v>1801841.57</v>
      </c>
      <c r="J79" s="16">
        <f t="shared" si="13"/>
        <v>2268015.5700000003</v>
      </c>
      <c r="K79" s="16">
        <f>SUMIF(Estado!$A$9:$A$368,$B79,Estado!$O$9:$O$368)</f>
        <v>499.43</v>
      </c>
      <c r="L79" s="50">
        <f t="shared" si="11"/>
        <v>0.99977984276057252</v>
      </c>
      <c r="M79" s="50">
        <f t="shared" si="12"/>
        <v>2.2015723942755503E-4</v>
      </c>
    </row>
    <row r="80" spans="1:13" s="24" customFormat="1" ht="16.5" x14ac:dyDescent="0.25">
      <c r="A80" s="110"/>
      <c r="B80" s="107" t="str">
        <f>+Estado!A114</f>
        <v>E-19902</v>
      </c>
      <c r="C80" s="105" t="str">
        <f>IFERROR(VLOOKUP(B80,Estado!$A$9:$B$505,2,FALSE),0)</f>
        <v>INT. MORAT. Y MULTAS</v>
      </c>
      <c r="D80" s="16">
        <f>SUMIF(Estado!$A$9:$A$368,$B80,Estado!$C$9:$C$368)</f>
        <v>54075000</v>
      </c>
      <c r="E80" s="16">
        <f>SUMIF(Estado!$A$9:$A$368,$B80,Estado!$D$9:$D$368)</f>
        <v>54075000</v>
      </c>
      <c r="F80" s="16">
        <f>SUMIF(Estado!$A$9:$A$368,$B80,Estado!$E$9:$E$368)</f>
        <v>0</v>
      </c>
      <c r="G80" s="16">
        <f>SUMIF(Estado!$A$9:$A$368,$B80,Estado!$G$9:$G$368)</f>
        <v>47279668.490000002</v>
      </c>
      <c r="H80" s="16">
        <f>SUMIF(Estado!$A$9:$A$368,$B80,Estado!$I$9:$I$368)</f>
        <v>0</v>
      </c>
      <c r="I80" s="16">
        <f>SUMIF(Estado!$A$9:$A$368,$B80,Estado!$K$9:$K$368)</f>
        <v>6748867.3399999999</v>
      </c>
      <c r="J80" s="16">
        <f t="shared" si="13"/>
        <v>54028535.829999998</v>
      </c>
      <c r="K80" s="16">
        <f>SUMIF(Estado!$A$9:$A$368,$B80,Estado!$O$9:$O$368)</f>
        <v>46464.17</v>
      </c>
      <c r="L80" s="50">
        <f t="shared" si="11"/>
        <v>0.99914074581599632</v>
      </c>
      <c r="M80" s="50">
        <f t="shared" si="12"/>
        <v>8.592541840036985E-4</v>
      </c>
    </row>
    <row r="81" spans="1:13" s="24" customFormat="1" ht="16.5" x14ac:dyDescent="0.25">
      <c r="A81" s="110"/>
      <c r="B81" s="107" t="str">
        <f>+Estado!A115</f>
        <v>E-19905</v>
      </c>
      <c r="C81" s="105" t="str">
        <f>IFERROR(VLOOKUP(B81,Estado!$A$9:$B$505,2,FALSE),0)</f>
        <v>DEDUCIBLES</v>
      </c>
      <c r="D81" s="16">
        <f>SUMIF(Estado!$A$9:$A$368,$B81,Estado!$C$9:$C$368)</f>
        <v>33225000</v>
      </c>
      <c r="E81" s="16">
        <f>SUMIF(Estado!$A$9:$A$368,$B81,Estado!$D$9:$D$368)</f>
        <v>33225000</v>
      </c>
      <c r="F81" s="16">
        <f>SUMIF(Estado!$A$9:$A$368,$B81,Estado!$E$9:$E$368)</f>
        <v>0</v>
      </c>
      <c r="G81" s="16">
        <f>SUMIF(Estado!$A$9:$A$368,$B81,Estado!$G$9:$G$368)</f>
        <v>15837730</v>
      </c>
      <c r="H81" s="16">
        <f>SUMIF(Estado!$A$9:$A$368,$B81,Estado!$I$9:$I$368)</f>
        <v>0</v>
      </c>
      <c r="I81" s="16">
        <f>SUMIF(Estado!$A$9:$A$368,$B81,Estado!$K$9:$K$368)</f>
        <v>11260000</v>
      </c>
      <c r="J81" s="16">
        <f t="shared" si="13"/>
        <v>27097730</v>
      </c>
      <c r="K81" s="16">
        <f>SUMIF(Estado!$A$9:$A$368,$B81,Estado!$O$9:$O$368)</f>
        <v>6127270</v>
      </c>
      <c r="L81" s="50">
        <f t="shared" si="11"/>
        <v>0.81558254326561319</v>
      </c>
      <c r="M81" s="50">
        <f t="shared" si="12"/>
        <v>0.18441745673438675</v>
      </c>
    </row>
    <row r="82" spans="1:13" s="23" customFormat="1" ht="17.25" x14ac:dyDescent="0.25">
      <c r="A82" s="108"/>
      <c r="B82" s="109" t="str">
        <f>+Estado!A116</f>
        <v>E-2</v>
      </c>
      <c r="C82" s="106" t="str">
        <f>IFERROR(VLOOKUP(B82,Estado!$A$9:$B$505,2,FALSE),0)</f>
        <v>MATERIALES Y SUMINIS</v>
      </c>
      <c r="D82" s="22">
        <f>+D83+D89+D92+D100+D103</f>
        <v>15431160767.51</v>
      </c>
      <c r="E82" s="22">
        <f t="shared" ref="E82:K82" si="14">+E83+E89+E92+E100+E103</f>
        <v>15431160767.51</v>
      </c>
      <c r="F82" s="22">
        <f t="shared" si="14"/>
        <v>0</v>
      </c>
      <c r="G82" s="22">
        <f t="shared" si="14"/>
        <v>1203945855.76</v>
      </c>
      <c r="H82" s="22">
        <f t="shared" si="14"/>
        <v>0</v>
      </c>
      <c r="I82" s="22">
        <f t="shared" si="14"/>
        <v>13707288427.530001</v>
      </c>
      <c r="J82" s="22">
        <f t="shared" si="14"/>
        <v>14911234283.290001</v>
      </c>
      <c r="K82" s="22">
        <f t="shared" si="14"/>
        <v>519926484.22000003</v>
      </c>
      <c r="L82" s="67">
        <f t="shared" si="11"/>
        <v>0.96630671586840733</v>
      </c>
      <c r="M82" s="67">
        <f t="shared" si="12"/>
        <v>3.3693284131592671E-2</v>
      </c>
    </row>
    <row r="83" spans="1:13" s="24" customFormat="1" ht="16.5" x14ac:dyDescent="0.25">
      <c r="A83" s="110"/>
      <c r="B83" s="107" t="str">
        <f>+Estado!A117</f>
        <v>E-201</v>
      </c>
      <c r="C83" s="105" t="str">
        <f>IFERROR(VLOOKUP(B83,Estado!$A$9:$B$505,2,FALSE),0)</f>
        <v>PRODUC QUÍM Y CONEX</v>
      </c>
      <c r="D83" s="16">
        <f>SUMIF(Estado!$A$9:$A$368,$B83,Estado!$C$9:$C$368)</f>
        <v>956362475</v>
      </c>
      <c r="E83" s="16">
        <f>SUMIF(Estado!$A$9:$A$368,$B83,Estado!$D$9:$D$368)</f>
        <v>956362475</v>
      </c>
      <c r="F83" s="16">
        <f>SUMIF(Estado!$A$9:$A$368,$B83,Estado!$E$9:$E$368)</f>
        <v>0</v>
      </c>
      <c r="G83" s="16">
        <f>SUMIF(Estado!$A$9:$A$368,$B83,Estado!$G$9:$G$368)</f>
        <v>64843031.799999997</v>
      </c>
      <c r="H83" s="16">
        <f>SUMIF(Estado!$A$9:$A$368,$B83,Estado!$I$9:$I$368)</f>
        <v>0</v>
      </c>
      <c r="I83" s="16">
        <f>SUMIF(Estado!$A$9:$A$368,$B83,Estado!$K$9:$K$368)</f>
        <v>869641842.08000004</v>
      </c>
      <c r="J83" s="16">
        <f t="shared" si="13"/>
        <v>934484873.88</v>
      </c>
      <c r="K83" s="16">
        <f>SUMIF(Estado!$A$9:$A$368,$B83,Estado!$O$9:$O$368)</f>
        <v>21877601.120000001</v>
      </c>
      <c r="L83" s="50">
        <f t="shared" si="11"/>
        <v>0.97712415355903626</v>
      </c>
      <c r="M83" s="50">
        <f t="shared" si="12"/>
        <v>2.2875846440963715E-2</v>
      </c>
    </row>
    <row r="84" spans="1:13" s="24" customFormat="1" ht="16.5" x14ac:dyDescent="0.25">
      <c r="A84" s="110"/>
      <c r="B84" s="107" t="str">
        <f>+Estado!A118</f>
        <v>E-20101</v>
      </c>
      <c r="C84" s="105" t="str">
        <f>IFERROR(VLOOKUP(B84,Estado!$A$9:$B$505,2,FALSE),0)</f>
        <v>COMB Y LUBRICANTES</v>
      </c>
      <c r="D84" s="16">
        <f>SUMIF(Estado!$A$9:$A$368,$B84,Estado!$C$9:$C$368)</f>
        <v>666637000</v>
      </c>
      <c r="E84" s="16">
        <f>SUMIF(Estado!$A$9:$A$368,$B84,Estado!$D$9:$D$368)</f>
        <v>666637000</v>
      </c>
      <c r="F84" s="16">
        <f>SUMIF(Estado!$A$9:$A$368,$B84,Estado!$E$9:$E$368)</f>
        <v>0</v>
      </c>
      <c r="G84" s="16">
        <f>SUMIF(Estado!$A$9:$A$368,$B84,Estado!$G$9:$G$368)</f>
        <v>63380930.799999997</v>
      </c>
      <c r="H84" s="16">
        <f>SUMIF(Estado!$A$9:$A$368,$B84,Estado!$I$9:$I$368)</f>
        <v>0</v>
      </c>
      <c r="I84" s="16">
        <f>SUMIF(Estado!$A$9:$A$368,$B84,Estado!$K$9:$K$368)</f>
        <v>592739200.91999996</v>
      </c>
      <c r="J84" s="16">
        <f t="shared" si="13"/>
        <v>656120131.71999991</v>
      </c>
      <c r="K84" s="16">
        <f>SUMIF(Estado!$A$9:$A$368,$B84,Estado!$O$9:$O$368)</f>
        <v>10516868.280000001</v>
      </c>
      <c r="L84" s="50">
        <f t="shared" si="11"/>
        <v>0.98422399554780171</v>
      </c>
      <c r="M84" s="50">
        <f t="shared" si="12"/>
        <v>1.5776004452198126E-2</v>
      </c>
    </row>
    <row r="85" spans="1:13" s="24" customFormat="1" ht="16.5" x14ac:dyDescent="0.25">
      <c r="A85" s="110"/>
      <c r="B85" s="107" t="str">
        <f>+Estado!A119</f>
        <v>E-20102</v>
      </c>
      <c r="C85" s="105" t="str">
        <f>IFERROR(VLOOKUP(B85,Estado!$A$9:$B$505,2,FALSE),0)</f>
        <v>PROD FARMAC Y MEDIC.</v>
      </c>
      <c r="D85" s="16">
        <f>SUMIF(Estado!$A$9:$A$368,$B85,Estado!$C$9:$C$368)</f>
        <v>210891180</v>
      </c>
      <c r="E85" s="16">
        <f>SUMIF(Estado!$A$9:$A$368,$B85,Estado!$D$9:$D$368)</f>
        <v>210891180</v>
      </c>
      <c r="F85" s="16">
        <f>SUMIF(Estado!$A$9:$A$368,$B85,Estado!$E$9:$E$368)</f>
        <v>0</v>
      </c>
      <c r="G85" s="16">
        <f>SUMIF(Estado!$A$9:$A$368,$B85,Estado!$G$9:$G$368)</f>
        <v>820600</v>
      </c>
      <c r="H85" s="16">
        <f>SUMIF(Estado!$A$9:$A$368,$B85,Estado!$I$9:$I$368)</f>
        <v>0</v>
      </c>
      <c r="I85" s="16">
        <f>SUMIF(Estado!$A$9:$A$368,$B85,Estado!$K$9:$K$368)</f>
        <v>208802485</v>
      </c>
      <c r="J85" s="16">
        <f t="shared" si="13"/>
        <v>209623085</v>
      </c>
      <c r="K85" s="16">
        <f>SUMIF(Estado!$A$9:$A$368,$B85,Estado!$O$9:$O$368)</f>
        <v>1268095</v>
      </c>
      <c r="L85" s="50">
        <f t="shared" si="11"/>
        <v>0.99398696996242331</v>
      </c>
      <c r="M85" s="50">
        <f t="shared" si="12"/>
        <v>6.0130300375767255E-3</v>
      </c>
    </row>
    <row r="86" spans="1:13" s="24" customFormat="1" ht="16.5" x14ac:dyDescent="0.25">
      <c r="A86" s="110"/>
      <c r="B86" s="107" t="str">
        <f>+Estado!A120</f>
        <v>E-20103</v>
      </c>
      <c r="C86" s="105" t="str">
        <f>IFERROR(VLOOKUP(B86,Estado!$A$9:$B$505,2,FALSE),0)</f>
        <v>PRODUCTOS VETERIN.</v>
      </c>
      <c r="D86" s="16">
        <f>SUMIF(Estado!$A$9:$A$368,$B86,Estado!$C$9:$C$368)</f>
        <v>5824000</v>
      </c>
      <c r="E86" s="16">
        <f>SUMIF(Estado!$A$9:$A$368,$B86,Estado!$D$9:$D$368)</f>
        <v>5824000</v>
      </c>
      <c r="F86" s="16">
        <f>SUMIF(Estado!$A$9:$A$368,$B86,Estado!$E$9:$E$368)</f>
        <v>0</v>
      </c>
      <c r="G86" s="16">
        <f>SUMIF(Estado!$A$9:$A$368,$B86,Estado!$G$9:$G$368)</f>
        <v>20771</v>
      </c>
      <c r="H86" s="16">
        <f>SUMIF(Estado!$A$9:$A$368,$B86,Estado!$I$9:$I$368)</f>
        <v>0</v>
      </c>
      <c r="I86" s="16">
        <f>SUMIF(Estado!$A$9:$A$368,$B86,Estado!$K$9:$K$368)</f>
        <v>279229</v>
      </c>
      <c r="J86" s="16">
        <f t="shared" si="13"/>
        <v>300000</v>
      </c>
      <c r="K86" s="16">
        <f>SUMIF(Estado!$A$9:$A$368,$B86,Estado!$O$9:$O$368)</f>
        <v>5524000</v>
      </c>
      <c r="L86" s="50">
        <f t="shared" si="11"/>
        <v>5.1510989010989008E-2</v>
      </c>
      <c r="M86" s="50">
        <f t="shared" si="12"/>
        <v>0.94848901098901095</v>
      </c>
    </row>
    <row r="87" spans="1:13" s="24" customFormat="1" ht="16.5" x14ac:dyDescent="0.25">
      <c r="A87" s="110"/>
      <c r="B87" s="107" t="str">
        <f>+Estado!A121</f>
        <v>E-20104</v>
      </c>
      <c r="C87" s="105" t="str">
        <f>IFERROR(VLOOKUP(B87,Estado!$A$9:$B$505,2,FALSE),0)</f>
        <v>TINTAS, PINT.Y DILUY</v>
      </c>
      <c r="D87" s="16">
        <f>SUMIF(Estado!$A$9:$A$368,$B87,Estado!$C$9:$C$368)</f>
        <v>59415400</v>
      </c>
      <c r="E87" s="16">
        <f>SUMIF(Estado!$A$9:$A$368,$B87,Estado!$D$9:$D$368)</f>
        <v>59415400</v>
      </c>
      <c r="F87" s="16">
        <f>SUMIF(Estado!$A$9:$A$368,$B87,Estado!$E$9:$E$368)</f>
        <v>0</v>
      </c>
      <c r="G87" s="16">
        <f>SUMIF(Estado!$A$9:$A$368,$B87,Estado!$G$9:$G$368)</f>
        <v>620730</v>
      </c>
      <c r="H87" s="16">
        <f>SUMIF(Estado!$A$9:$A$368,$B87,Estado!$I$9:$I$368)</f>
        <v>0</v>
      </c>
      <c r="I87" s="16">
        <f>SUMIF(Estado!$A$9:$A$368,$B87,Estado!$K$9:$K$368)</f>
        <v>56311187.159999996</v>
      </c>
      <c r="J87" s="16">
        <f t="shared" si="13"/>
        <v>56931917.159999996</v>
      </c>
      <c r="K87" s="16">
        <f>SUMIF(Estado!$A$9:$A$368,$B87,Estado!$O$9:$O$368)</f>
        <v>2483482.84</v>
      </c>
      <c r="L87" s="50">
        <f t="shared" si="11"/>
        <v>0.9582013612632414</v>
      </c>
      <c r="M87" s="50">
        <f t="shared" si="12"/>
        <v>4.179863873675848E-2</v>
      </c>
    </row>
    <row r="88" spans="1:13" s="24" customFormat="1" ht="16.5" x14ac:dyDescent="0.25">
      <c r="A88" s="110"/>
      <c r="B88" s="107" t="str">
        <f>+Estado!A122</f>
        <v>E-20199</v>
      </c>
      <c r="C88" s="105" t="str">
        <f>IFERROR(VLOOKUP(B88,Estado!$A$9:$B$505,2,FALSE),0)</f>
        <v>OTR.PROD.QUÍM YCONEX</v>
      </c>
      <c r="D88" s="16">
        <f>SUMIF(Estado!$A$9:$A$368,$B88,Estado!$C$9:$C$368)</f>
        <v>13594895</v>
      </c>
      <c r="E88" s="16">
        <f>SUMIF(Estado!$A$9:$A$368,$B88,Estado!$D$9:$D$368)</f>
        <v>13594895</v>
      </c>
      <c r="F88" s="16">
        <f>SUMIF(Estado!$A$9:$A$368,$B88,Estado!$E$9:$E$368)</f>
        <v>0</v>
      </c>
      <c r="G88" s="16">
        <f>SUMIF(Estado!$A$9:$A$368,$B88,Estado!$G$9:$G$368)</f>
        <v>0</v>
      </c>
      <c r="H88" s="16">
        <f>SUMIF(Estado!$A$9:$A$368,$B88,Estado!$I$9:$I$368)</f>
        <v>0</v>
      </c>
      <c r="I88" s="16">
        <f>SUMIF(Estado!$A$9:$A$368,$B88,Estado!$K$9:$K$368)</f>
        <v>11509740</v>
      </c>
      <c r="J88" s="16">
        <f t="shared" si="13"/>
        <v>11509740</v>
      </c>
      <c r="K88" s="16">
        <f>SUMIF(Estado!$A$9:$A$368,$B88,Estado!$O$9:$O$368)</f>
        <v>2085155</v>
      </c>
      <c r="L88" s="50">
        <f t="shared" si="11"/>
        <v>0.84662220635025132</v>
      </c>
      <c r="M88" s="50">
        <f t="shared" si="12"/>
        <v>0.15337779364974868</v>
      </c>
    </row>
    <row r="89" spans="1:13" s="24" customFormat="1" ht="16.5" x14ac:dyDescent="0.25">
      <c r="A89" s="110"/>
      <c r="B89" s="107" t="str">
        <f>+Estado!A123</f>
        <v>E-202</v>
      </c>
      <c r="C89" s="105" t="str">
        <f>IFERROR(VLOOKUP(B89,Estado!$A$9:$B$505,2,FALSE),0)</f>
        <v>ALIMEN Y PRODUC AGRO</v>
      </c>
      <c r="D89" s="16">
        <f>SUMIF(Estado!$A$9:$A$368,$B89,Estado!$C$9:$C$368)</f>
        <v>10524984481.51</v>
      </c>
      <c r="E89" s="16">
        <f>SUMIF(Estado!$A$9:$A$368,$B89,Estado!$D$9:$D$368)</f>
        <v>10524984481.51</v>
      </c>
      <c r="F89" s="16">
        <f>SUMIF(Estado!$A$9:$A$368,$B89,Estado!$E$9:$E$368)</f>
        <v>0</v>
      </c>
      <c r="G89" s="16">
        <f>SUMIF(Estado!$A$9:$A$368,$B89,Estado!$G$9:$G$368)</f>
        <v>643718931.84000003</v>
      </c>
      <c r="H89" s="16">
        <f>SUMIF(Estado!$A$9:$A$368,$B89,Estado!$I$9:$I$368)</f>
        <v>0</v>
      </c>
      <c r="I89" s="16">
        <f>SUMIF(Estado!$A$9:$A$368,$B89,Estado!$K$9:$K$368)</f>
        <v>9840185342.7000008</v>
      </c>
      <c r="J89" s="16">
        <f t="shared" si="13"/>
        <v>10483904274.540001</v>
      </c>
      <c r="K89" s="16">
        <f>SUMIF(Estado!$A$9:$A$368,$B89,Estado!$O$9:$O$368)</f>
        <v>41080206.969999999</v>
      </c>
      <c r="L89" s="50">
        <f t="shared" si="11"/>
        <v>0.99609688669449648</v>
      </c>
      <c r="M89" s="50">
        <f t="shared" si="12"/>
        <v>3.9031133055035436E-3</v>
      </c>
    </row>
    <row r="90" spans="1:13" s="24" customFormat="1" ht="16.5" x14ac:dyDescent="0.25">
      <c r="A90" s="110"/>
      <c r="B90" s="107" t="str">
        <f>+Estado!A124</f>
        <v>E-20203</v>
      </c>
      <c r="C90" s="105" t="str">
        <f>IFERROR(VLOOKUP(B90,Estado!$A$9:$B$505,2,FALSE),0)</f>
        <v>ALIMENTOS Y BEBIDAS</v>
      </c>
      <c r="D90" s="16">
        <f>SUMIF(Estado!$A$9:$A$368,$B90,Estado!$C$9:$C$368)</f>
        <v>10512984481.51</v>
      </c>
      <c r="E90" s="16">
        <f>SUMIF(Estado!$A$9:$A$368,$B90,Estado!$D$9:$D$368)</f>
        <v>10512984481.51</v>
      </c>
      <c r="F90" s="16">
        <f>SUMIF(Estado!$A$9:$A$368,$B90,Estado!$E$9:$E$368)</f>
        <v>0</v>
      </c>
      <c r="G90" s="16">
        <f>SUMIF(Estado!$A$9:$A$368,$B90,Estado!$G$9:$G$368)</f>
        <v>643718931.84000003</v>
      </c>
      <c r="H90" s="16">
        <f>SUMIF(Estado!$A$9:$A$368,$B90,Estado!$I$9:$I$368)</f>
        <v>0</v>
      </c>
      <c r="I90" s="16">
        <f>SUMIF(Estado!$A$9:$A$368,$B90,Estado!$K$9:$K$368)</f>
        <v>9828198367.7000008</v>
      </c>
      <c r="J90" s="16">
        <f t="shared" si="13"/>
        <v>10471917299.540001</v>
      </c>
      <c r="K90" s="16">
        <f>SUMIF(Estado!$A$9:$A$368,$B90,Estado!$O$9:$O$368)</f>
        <v>41067181.969999999</v>
      </c>
      <c r="L90" s="50">
        <f t="shared" si="11"/>
        <v>0.99609367044703367</v>
      </c>
      <c r="M90" s="50">
        <f t="shared" si="12"/>
        <v>3.9063295529664322E-3</v>
      </c>
    </row>
    <row r="91" spans="1:13" s="23" customFormat="1" ht="16.5" x14ac:dyDescent="0.25">
      <c r="A91" s="108"/>
      <c r="B91" s="107" t="str">
        <f>+Estado!A125</f>
        <v>E-20204</v>
      </c>
      <c r="C91" s="105" t="str">
        <f>IFERROR(VLOOKUP(B91,Estado!$A$9:$B$505,2,FALSE),0)</f>
        <v>ALIM. PARA ANIMALES</v>
      </c>
      <c r="D91" s="16">
        <f>SUMIF(Estado!$A$9:$A$368,$B91,Estado!$C$9:$C$368)</f>
        <v>12000000</v>
      </c>
      <c r="E91" s="16">
        <f>SUMIF(Estado!$A$9:$A$368,$B91,Estado!$D$9:$D$368)</f>
        <v>12000000</v>
      </c>
      <c r="F91" s="16">
        <f>SUMIF(Estado!$A$9:$A$368,$B91,Estado!$E$9:$E$368)</f>
        <v>0</v>
      </c>
      <c r="G91" s="16">
        <f>SUMIF(Estado!$A$9:$A$368,$B91,Estado!$G$9:$G$368)</f>
        <v>0</v>
      </c>
      <c r="H91" s="16">
        <f>SUMIF(Estado!$A$9:$A$368,$B91,Estado!$I$9:$I$368)</f>
        <v>0</v>
      </c>
      <c r="I91" s="16">
        <f>SUMIF(Estado!$A$9:$A$368,$B91,Estado!$K$9:$K$368)</f>
        <v>11986975</v>
      </c>
      <c r="J91" s="16">
        <f t="shared" ref="J91" si="15">SUM(G91:I91)</f>
        <v>11986975</v>
      </c>
      <c r="K91" s="16">
        <f>SUMIF(Estado!$A$9:$A$368,$B91,Estado!$O$9:$O$368)</f>
        <v>13025</v>
      </c>
      <c r="L91" s="50">
        <f t="shared" ref="L91" si="16">+IFERROR(SUM(G91:I91)/D91,0)</f>
        <v>0.99891458333333338</v>
      </c>
      <c r="M91" s="50">
        <f t="shared" ref="M91" si="17">+IFERROR(+K91/D91,0)</f>
        <v>1.0854166666666666E-3</v>
      </c>
    </row>
    <row r="92" spans="1:13" s="24" customFormat="1" ht="16.5" x14ac:dyDescent="0.25">
      <c r="A92" s="110"/>
      <c r="B92" s="107" t="str">
        <f>+Estado!A126</f>
        <v>E-203</v>
      </c>
      <c r="C92" s="105" t="str">
        <f>IFERROR(VLOOKUP(B92,Estado!$A$9:$B$505,2,FALSE),0)</f>
        <v>MATER P.CONST Y MANT</v>
      </c>
      <c r="D92" s="16">
        <f>SUMIF(Estado!$A$9:$A$368,$B92,Estado!$C$9:$C$368)</f>
        <v>733474654</v>
      </c>
      <c r="E92" s="16">
        <f>SUMIF(Estado!$A$9:$A$368,$B92,Estado!$D$9:$D$368)</f>
        <v>733474654</v>
      </c>
      <c r="F92" s="16">
        <f>SUMIF(Estado!$A$9:$A$368,$B92,Estado!$E$9:$E$368)</f>
        <v>0</v>
      </c>
      <c r="G92" s="16">
        <f>SUMIF(Estado!$A$9:$A$368,$B92,Estado!$G$9:$G$368)</f>
        <v>49281675.18</v>
      </c>
      <c r="H92" s="16">
        <f>SUMIF(Estado!$A$9:$A$368,$B92,Estado!$I$9:$I$368)</f>
        <v>0</v>
      </c>
      <c r="I92" s="16">
        <f>SUMIF(Estado!$A$9:$A$368,$B92,Estado!$K$9:$K$368)</f>
        <v>507027686.76999998</v>
      </c>
      <c r="J92" s="16">
        <f t="shared" ref="J92:J102" si="18">SUM(G92:I92)</f>
        <v>556309361.94999993</v>
      </c>
      <c r="K92" s="16">
        <f>SUMIF(Estado!$A$9:$A$368,$B92,Estado!$O$9:$O$368)</f>
        <v>177165292.04999998</v>
      </c>
      <c r="L92" s="50">
        <f t="shared" ref="L92:L102" si="19">+IFERROR(SUM(G92:I92)/D92,0)</f>
        <v>0.75845751303902575</v>
      </c>
      <c r="M92" s="50">
        <f t="shared" ref="M92:M102" si="20">+IFERROR(+K92/D92,0)</f>
        <v>0.24154248696097408</v>
      </c>
    </row>
    <row r="93" spans="1:13" s="24" customFormat="1" ht="16.5" x14ac:dyDescent="0.25">
      <c r="A93" s="110"/>
      <c r="B93" s="107" t="str">
        <f>+Estado!A127</f>
        <v>E-20301</v>
      </c>
      <c r="C93" s="105" t="str">
        <f>IFERROR(VLOOKUP(B93,Estado!$A$9:$B$505,2,FALSE),0)</f>
        <v>MATERIALES YPROD MET</v>
      </c>
      <c r="D93" s="16">
        <f>SUMIF(Estado!$A$9:$A$368,$B93,Estado!$C$9:$C$368)</f>
        <v>294716374</v>
      </c>
      <c r="E93" s="16">
        <f>SUMIF(Estado!$A$9:$A$368,$B93,Estado!$D$9:$D$368)</f>
        <v>294716374</v>
      </c>
      <c r="F93" s="16">
        <f>SUMIF(Estado!$A$9:$A$368,$B93,Estado!$E$9:$E$368)</f>
        <v>0</v>
      </c>
      <c r="G93" s="16">
        <f>SUMIF(Estado!$A$9:$A$368,$B93,Estado!$G$9:$G$368)</f>
        <v>6019035</v>
      </c>
      <c r="H93" s="16">
        <f>SUMIF(Estado!$A$9:$A$368,$B93,Estado!$I$9:$I$368)</f>
        <v>0</v>
      </c>
      <c r="I93" s="16">
        <f>SUMIF(Estado!$A$9:$A$368,$B93,Estado!$K$9:$K$368)</f>
        <v>247488723.13</v>
      </c>
      <c r="J93" s="16">
        <f t="shared" si="18"/>
        <v>253507758.13</v>
      </c>
      <c r="K93" s="16">
        <f>SUMIF(Estado!$A$9:$A$368,$B93,Estado!$O$9:$O$368)</f>
        <v>41208615.869999997</v>
      </c>
      <c r="L93" s="50">
        <f t="shared" si="19"/>
        <v>0.86017534312498023</v>
      </c>
      <c r="M93" s="50">
        <f t="shared" si="20"/>
        <v>0.13982465687501977</v>
      </c>
    </row>
    <row r="94" spans="1:13" s="24" customFormat="1" ht="16.5" x14ac:dyDescent="0.25">
      <c r="A94" s="110"/>
      <c r="B94" s="107" t="str">
        <f>+Estado!A128</f>
        <v>E-20302</v>
      </c>
      <c r="C94" s="105" t="str">
        <f>IFERROR(VLOOKUP(B94,Estado!$A$9:$B$505,2,FALSE),0)</f>
        <v>MAT Y PROD.MIN.Y ASF</v>
      </c>
      <c r="D94" s="16">
        <f>SUMIF(Estado!$A$9:$A$368,$B94,Estado!$C$9:$C$368)</f>
        <v>69168000</v>
      </c>
      <c r="E94" s="16">
        <f>SUMIF(Estado!$A$9:$A$368,$B94,Estado!$D$9:$D$368)</f>
        <v>69168000</v>
      </c>
      <c r="F94" s="16">
        <f>SUMIF(Estado!$A$9:$A$368,$B94,Estado!$E$9:$E$368)</f>
        <v>0</v>
      </c>
      <c r="G94" s="16">
        <f>SUMIF(Estado!$A$9:$A$368,$B94,Estado!$G$9:$G$368)</f>
        <v>3935643</v>
      </c>
      <c r="H94" s="16">
        <f>SUMIF(Estado!$A$9:$A$368,$B94,Estado!$I$9:$I$368)</f>
        <v>0</v>
      </c>
      <c r="I94" s="16">
        <f>SUMIF(Estado!$A$9:$A$368,$B94,Estado!$K$9:$K$368)</f>
        <v>65185353.920000002</v>
      </c>
      <c r="J94" s="16">
        <f t="shared" si="18"/>
        <v>69120996.920000002</v>
      </c>
      <c r="K94" s="16">
        <f>SUMIF(Estado!$A$9:$A$368,$B94,Estado!$O$9:$O$368)</f>
        <v>47003.08</v>
      </c>
      <c r="L94" s="50">
        <f t="shared" si="19"/>
        <v>0.99932045049733986</v>
      </c>
      <c r="M94" s="50">
        <f t="shared" si="20"/>
        <v>6.7954950266018973E-4</v>
      </c>
    </row>
    <row r="95" spans="1:13" s="24" customFormat="1" ht="16.5" x14ac:dyDescent="0.25">
      <c r="A95" s="110"/>
      <c r="B95" s="107" t="str">
        <f>+Estado!A129</f>
        <v>E-20303</v>
      </c>
      <c r="C95" s="105" t="str">
        <f>IFERROR(VLOOKUP(B95,Estado!$A$9:$B$505,2,FALSE),0)</f>
        <v>MADERA Y SUS DERIV</v>
      </c>
      <c r="D95" s="16">
        <f>SUMIF(Estado!$A$9:$A$368,$B95,Estado!$C$9:$C$368)</f>
        <v>97694469</v>
      </c>
      <c r="E95" s="16">
        <f>SUMIF(Estado!$A$9:$A$368,$B95,Estado!$D$9:$D$368)</f>
        <v>97694469</v>
      </c>
      <c r="F95" s="16">
        <f>SUMIF(Estado!$A$9:$A$368,$B95,Estado!$E$9:$E$368)</f>
        <v>0</v>
      </c>
      <c r="G95" s="16">
        <f>SUMIF(Estado!$A$9:$A$368,$B95,Estado!$G$9:$G$368)</f>
        <v>39170598</v>
      </c>
      <c r="H95" s="16">
        <f>SUMIF(Estado!$A$9:$A$368,$B95,Estado!$I$9:$I$368)</f>
        <v>0</v>
      </c>
      <c r="I95" s="16">
        <f>SUMIF(Estado!$A$9:$A$368,$B95,Estado!$K$9:$K$368)</f>
        <v>58406417.5</v>
      </c>
      <c r="J95" s="16">
        <f t="shared" si="18"/>
        <v>97577015.5</v>
      </c>
      <c r="K95" s="16">
        <f>SUMIF(Estado!$A$9:$A$368,$B95,Estado!$O$9:$O$368)</f>
        <v>117453.5</v>
      </c>
      <c r="L95" s="50">
        <f t="shared" si="19"/>
        <v>0.99879774667693833</v>
      </c>
      <c r="M95" s="50">
        <f t="shared" si="20"/>
        <v>1.2022533230617181E-3</v>
      </c>
    </row>
    <row r="96" spans="1:13" s="24" customFormat="1" ht="16.5" x14ac:dyDescent="0.25">
      <c r="A96" s="110"/>
      <c r="B96" s="107" t="str">
        <f>+Estado!A130</f>
        <v>E-20304</v>
      </c>
      <c r="C96" s="105" t="str">
        <f>IFERROR(VLOOKUP(B96,Estado!$A$9:$B$505,2,FALSE),0)</f>
        <v>MAT.YPROD.ELÉC,TEL.C</v>
      </c>
      <c r="D96" s="16">
        <f>SUMIF(Estado!$A$9:$A$368,$B96,Estado!$C$9:$C$368)</f>
        <v>153201637</v>
      </c>
      <c r="E96" s="16">
        <f>SUMIF(Estado!$A$9:$A$368,$B96,Estado!$D$9:$D$368)</f>
        <v>153201637</v>
      </c>
      <c r="F96" s="16">
        <f>SUMIF(Estado!$A$9:$A$368,$B96,Estado!$E$9:$E$368)</f>
        <v>0</v>
      </c>
      <c r="G96" s="16">
        <f>SUMIF(Estado!$A$9:$A$368,$B96,Estado!$G$9:$G$368)</f>
        <v>115430</v>
      </c>
      <c r="H96" s="16">
        <f>SUMIF(Estado!$A$9:$A$368,$B96,Estado!$I$9:$I$368)</f>
        <v>0</v>
      </c>
      <c r="I96" s="16">
        <f>SUMIF(Estado!$A$9:$A$368,$B96,Estado!$K$9:$K$368)</f>
        <v>40597210.760000005</v>
      </c>
      <c r="J96" s="16">
        <f t="shared" si="18"/>
        <v>40712640.760000005</v>
      </c>
      <c r="K96" s="16">
        <f>SUMIF(Estado!$A$9:$A$368,$B96,Estado!$O$9:$O$368)</f>
        <v>112488996.24000001</v>
      </c>
      <c r="L96" s="50">
        <f t="shared" si="19"/>
        <v>0.26574546824196144</v>
      </c>
      <c r="M96" s="50">
        <f t="shared" si="20"/>
        <v>0.73425453175803868</v>
      </c>
    </row>
    <row r="97" spans="1:13" s="24" customFormat="1" ht="16.5" x14ac:dyDescent="0.25">
      <c r="A97" s="110"/>
      <c r="B97" s="107" t="str">
        <f>+Estado!A131</f>
        <v>E-20305</v>
      </c>
      <c r="C97" s="105" t="str">
        <f>IFERROR(VLOOKUP(B97,Estado!$A$9:$B$505,2,FALSE),0)</f>
        <v>MATER. Y PROD VIDRIO</v>
      </c>
      <c r="D97" s="16">
        <f>SUMIF(Estado!$A$9:$A$368,$B97,Estado!$C$9:$C$368)</f>
        <v>7129000</v>
      </c>
      <c r="E97" s="16">
        <f>SUMIF(Estado!$A$9:$A$368,$B97,Estado!$D$9:$D$368)</f>
        <v>7129000</v>
      </c>
      <c r="F97" s="16">
        <f>SUMIF(Estado!$A$9:$A$368,$B97,Estado!$E$9:$E$368)</f>
        <v>0</v>
      </c>
      <c r="G97" s="16">
        <f>SUMIF(Estado!$A$9:$A$368,$B97,Estado!$G$9:$G$368)</f>
        <v>0</v>
      </c>
      <c r="H97" s="16">
        <f>SUMIF(Estado!$A$9:$A$368,$B97,Estado!$I$9:$I$368)</f>
        <v>0</v>
      </c>
      <c r="I97" s="16">
        <f>SUMIF(Estado!$A$9:$A$368,$B97,Estado!$K$9:$K$368)</f>
        <v>7043000</v>
      </c>
      <c r="J97" s="16">
        <f t="shared" si="18"/>
        <v>7043000</v>
      </c>
      <c r="K97" s="16">
        <f>SUMIF(Estado!$A$9:$A$368,$B97,Estado!$O$9:$O$368)</f>
        <v>86000</v>
      </c>
      <c r="L97" s="50">
        <f t="shared" si="19"/>
        <v>0.98793659699817649</v>
      </c>
      <c r="M97" s="50">
        <f t="shared" si="20"/>
        <v>1.2063403001823538E-2</v>
      </c>
    </row>
    <row r="98" spans="1:13" s="24" customFormat="1" ht="16.5" x14ac:dyDescent="0.25">
      <c r="A98" s="110"/>
      <c r="B98" s="107" t="str">
        <f>+Estado!A132</f>
        <v>E-20306</v>
      </c>
      <c r="C98" s="105" t="str">
        <f>IFERROR(VLOOKUP(B98,Estado!$A$9:$B$505,2,FALSE),0)</f>
        <v>MAT. Y PROD PLÁSTICO</v>
      </c>
      <c r="D98" s="16">
        <f>SUMIF(Estado!$A$9:$A$368,$B98,Estado!$C$9:$C$368)</f>
        <v>85690514</v>
      </c>
      <c r="E98" s="16">
        <f>SUMIF(Estado!$A$9:$A$368,$B98,Estado!$D$9:$D$368)</f>
        <v>85690514</v>
      </c>
      <c r="F98" s="16">
        <f>SUMIF(Estado!$A$9:$A$368,$B98,Estado!$E$9:$E$368)</f>
        <v>0</v>
      </c>
      <c r="G98" s="16">
        <f>SUMIF(Estado!$A$9:$A$368,$B98,Estado!$G$9:$G$368)</f>
        <v>40969.18</v>
      </c>
      <c r="H98" s="16">
        <f>SUMIF(Estado!$A$9:$A$368,$B98,Estado!$I$9:$I$368)</f>
        <v>0</v>
      </c>
      <c r="I98" s="16">
        <f>SUMIF(Estado!$A$9:$A$368,$B98,Estado!$K$9:$K$368)</f>
        <v>65860425.460000001</v>
      </c>
      <c r="J98" s="16">
        <f t="shared" si="18"/>
        <v>65901394.640000001</v>
      </c>
      <c r="K98" s="16">
        <f>SUMIF(Estado!$A$9:$A$368,$B98,Estado!$O$9:$O$368)</f>
        <v>19789119.359999999</v>
      </c>
      <c r="L98" s="50">
        <f t="shared" si="19"/>
        <v>0.7690628934726661</v>
      </c>
      <c r="M98" s="50">
        <f t="shared" si="20"/>
        <v>0.23093710652733393</v>
      </c>
    </row>
    <row r="99" spans="1:13" s="24" customFormat="1" ht="16.5" x14ac:dyDescent="0.25">
      <c r="A99" s="110"/>
      <c r="B99" s="107" t="str">
        <f>+Estado!A133</f>
        <v>E-20399</v>
      </c>
      <c r="C99" s="105" t="str">
        <f>IFERROR(VLOOKUP(B99,Estado!$A$9:$B$505,2,FALSE),0)</f>
        <v>OTR.MAT.YP.USO CONST</v>
      </c>
      <c r="D99" s="16">
        <f>SUMIF(Estado!$A$9:$A$368,$B99,Estado!$C$9:$C$368)</f>
        <v>25874660</v>
      </c>
      <c r="E99" s="16">
        <f>SUMIF(Estado!$A$9:$A$368,$B99,Estado!$D$9:$D$368)</f>
        <v>25874660</v>
      </c>
      <c r="F99" s="16">
        <f>SUMIF(Estado!$A$9:$A$368,$B99,Estado!$E$9:$E$368)</f>
        <v>0</v>
      </c>
      <c r="G99" s="16">
        <f>SUMIF(Estado!$A$9:$A$368,$B99,Estado!$G$9:$G$368)</f>
        <v>0</v>
      </c>
      <c r="H99" s="16">
        <f>SUMIF(Estado!$A$9:$A$368,$B99,Estado!$I$9:$I$368)</f>
        <v>0</v>
      </c>
      <c r="I99" s="16">
        <f>SUMIF(Estado!$A$9:$A$368,$B99,Estado!$K$9:$K$368)</f>
        <v>22446556</v>
      </c>
      <c r="J99" s="16">
        <f t="shared" si="18"/>
        <v>22446556</v>
      </c>
      <c r="K99" s="16">
        <f>SUMIF(Estado!$A$9:$A$368,$B99,Estado!$O$9:$O$368)</f>
        <v>3428104</v>
      </c>
      <c r="L99" s="50">
        <f t="shared" si="19"/>
        <v>0.86751114797257234</v>
      </c>
      <c r="M99" s="50">
        <f t="shared" si="20"/>
        <v>0.13248885202742761</v>
      </c>
    </row>
    <row r="100" spans="1:13" s="24" customFormat="1" ht="16.5" x14ac:dyDescent="0.25">
      <c r="A100" s="110"/>
      <c r="B100" s="107" t="str">
        <f>+Estado!A134</f>
        <v>E-204</v>
      </c>
      <c r="C100" s="105" t="str">
        <f>IFERROR(VLOOKUP(B100,Estado!$A$9:$B$505,2,FALSE),0)</f>
        <v>HERRAM REPUE Y ACCES</v>
      </c>
      <c r="D100" s="16">
        <f>SUMIF(Estado!$A$9:$A$368,$B100,Estado!$C$9:$C$368)</f>
        <v>247742500</v>
      </c>
      <c r="E100" s="16">
        <f>SUMIF(Estado!$A$9:$A$368,$B100,Estado!$D$9:$D$368)</f>
        <v>247742500</v>
      </c>
      <c r="F100" s="16">
        <f>SUMIF(Estado!$A$9:$A$368,$B100,Estado!$E$9:$E$368)</f>
        <v>0</v>
      </c>
      <c r="G100" s="16">
        <f>SUMIF(Estado!$A$9:$A$368,$B100,Estado!$G$9:$G$368)</f>
        <v>29697133.329999998</v>
      </c>
      <c r="H100" s="16">
        <f>SUMIF(Estado!$A$9:$A$368,$B100,Estado!$I$9:$I$368)</f>
        <v>0</v>
      </c>
      <c r="I100" s="16">
        <f>SUMIF(Estado!$A$9:$A$368,$B100,Estado!$K$9:$K$368)</f>
        <v>164136272.01000002</v>
      </c>
      <c r="J100" s="16">
        <f t="shared" si="18"/>
        <v>193833405.34000003</v>
      </c>
      <c r="K100" s="16">
        <f>SUMIF(Estado!$A$9:$A$368,$B100,Estado!$O$9:$O$368)</f>
        <v>53909094.660000004</v>
      </c>
      <c r="L100" s="50">
        <f t="shared" si="19"/>
        <v>0.78239868145352542</v>
      </c>
      <c r="M100" s="50">
        <f t="shared" si="20"/>
        <v>0.21760131854647469</v>
      </c>
    </row>
    <row r="101" spans="1:13" s="24" customFormat="1" ht="16.5" x14ac:dyDescent="0.25">
      <c r="A101" s="110"/>
      <c r="B101" s="107" t="str">
        <f>+Estado!A135</f>
        <v>E-20401</v>
      </c>
      <c r="C101" s="105" t="str">
        <f>IFERROR(VLOOKUP(B101,Estado!$A$9:$B$505,2,FALSE),0)</f>
        <v>HERRAM.E INSTRUMENTO</v>
      </c>
      <c r="D101" s="16">
        <f>SUMIF(Estado!$A$9:$A$368,$B101,Estado!$C$9:$C$368)</f>
        <v>51521999</v>
      </c>
      <c r="E101" s="16">
        <f>SUMIF(Estado!$A$9:$A$368,$B101,Estado!$D$9:$D$368)</f>
        <v>51521999</v>
      </c>
      <c r="F101" s="16">
        <f>SUMIF(Estado!$A$9:$A$368,$B101,Estado!$E$9:$E$368)</f>
        <v>0</v>
      </c>
      <c r="G101" s="16">
        <f>SUMIF(Estado!$A$9:$A$368,$B101,Estado!$G$9:$G$368)</f>
        <v>16855580</v>
      </c>
      <c r="H101" s="16">
        <f>SUMIF(Estado!$A$9:$A$368,$B101,Estado!$I$9:$I$368)</f>
        <v>0</v>
      </c>
      <c r="I101" s="16">
        <f>SUMIF(Estado!$A$9:$A$368,$B101,Estado!$K$9:$K$368)</f>
        <v>24784707.02</v>
      </c>
      <c r="J101" s="16">
        <f t="shared" si="18"/>
        <v>41640287.019999996</v>
      </c>
      <c r="K101" s="16">
        <f>SUMIF(Estado!$A$9:$A$368,$B101,Estado!$O$9:$O$368)</f>
        <v>9881711.9800000004</v>
      </c>
      <c r="L101" s="50">
        <f t="shared" si="19"/>
        <v>0.80820402601226704</v>
      </c>
      <c r="M101" s="50">
        <f t="shared" si="20"/>
        <v>0.1917959739877329</v>
      </c>
    </row>
    <row r="102" spans="1:13" s="24" customFormat="1" ht="16.5" x14ac:dyDescent="0.25">
      <c r="A102" s="110"/>
      <c r="B102" s="107" t="str">
        <f>+Estado!A136</f>
        <v>E-20402</v>
      </c>
      <c r="C102" s="105" t="str">
        <f>IFERROR(VLOOKUP(B102,Estado!$A$9:$B$505,2,FALSE),0)</f>
        <v>REP.Y ACCESORIOS</v>
      </c>
      <c r="D102" s="16">
        <f>SUMIF(Estado!$A$9:$A$368,$B102,Estado!$C$9:$C$368)</f>
        <v>196220501</v>
      </c>
      <c r="E102" s="16">
        <f>SUMIF(Estado!$A$9:$A$368,$B102,Estado!$D$9:$D$368)</f>
        <v>196220501</v>
      </c>
      <c r="F102" s="16">
        <f>SUMIF(Estado!$A$9:$A$368,$B102,Estado!$E$9:$E$368)</f>
        <v>0</v>
      </c>
      <c r="G102" s="16">
        <f>SUMIF(Estado!$A$9:$A$368,$B102,Estado!$G$9:$G$368)</f>
        <v>12841553.33</v>
      </c>
      <c r="H102" s="16">
        <f>SUMIF(Estado!$A$9:$A$368,$B102,Estado!$I$9:$I$368)</f>
        <v>0</v>
      </c>
      <c r="I102" s="16">
        <f>SUMIF(Estado!$A$9:$A$368,$B102,Estado!$K$9:$K$368)</f>
        <v>139351564.98999998</v>
      </c>
      <c r="J102" s="16">
        <f t="shared" si="18"/>
        <v>152193118.31999999</v>
      </c>
      <c r="K102" s="16">
        <f>SUMIF(Estado!$A$9:$A$368,$B102,Estado!$O$9:$O$368)</f>
        <v>44027382.68</v>
      </c>
      <c r="L102" s="50">
        <f t="shared" si="19"/>
        <v>0.77562292188826887</v>
      </c>
      <c r="M102" s="50">
        <f t="shared" si="20"/>
        <v>0.22437707811173105</v>
      </c>
    </row>
    <row r="103" spans="1:13" s="24" customFormat="1" ht="16.5" x14ac:dyDescent="0.25">
      <c r="A103" s="110"/>
      <c r="B103" s="107" t="str">
        <f>+Estado!A137</f>
        <v>E-299</v>
      </c>
      <c r="C103" s="105" t="str">
        <f>IFERROR(VLOOKUP(B103,Estado!$A$9:$B$505,2,FALSE),0)</f>
        <v>ÚTILES MAT Y SUM DIV</v>
      </c>
      <c r="D103" s="16">
        <f>SUMIF(Estado!$A$9:$A$368,$B103,Estado!$C$9:$C$368)</f>
        <v>2968596657</v>
      </c>
      <c r="E103" s="16">
        <f>SUMIF(Estado!$A$9:$A$368,$B103,Estado!$D$9:$D$368)</f>
        <v>2968596657</v>
      </c>
      <c r="F103" s="16">
        <f>SUMIF(Estado!$A$9:$A$368,$B103,Estado!$E$9:$E$368)</f>
        <v>0</v>
      </c>
      <c r="G103" s="16">
        <f>SUMIF(Estado!$A$9:$A$368,$B103,Estado!$G$9:$G$368)</f>
        <v>416405083.61000001</v>
      </c>
      <c r="H103" s="16">
        <f>SUMIF(Estado!$A$9:$A$368,$B103,Estado!$I$9:$I$368)</f>
        <v>0</v>
      </c>
      <c r="I103" s="16">
        <f>SUMIF(Estado!$A$9:$A$368,$B103,Estado!$K$9:$K$368)</f>
        <v>2326297283.9699998</v>
      </c>
      <c r="J103" s="16">
        <f t="shared" ref="J103:J111" si="21">SUM(G103:I103)</f>
        <v>2742702367.5799999</v>
      </c>
      <c r="K103" s="16">
        <f>SUMIF(Estado!$A$9:$A$368,$B103,Estado!$O$9:$O$368)</f>
        <v>225894289.42000002</v>
      </c>
      <c r="L103" s="50">
        <f t="shared" ref="L103:L111" si="22">+IFERROR(SUM(G103:I103)/D103,0)</f>
        <v>0.92390536151573921</v>
      </c>
      <c r="M103" s="50">
        <f t="shared" ref="M103:M111" si="23">+IFERROR(+K103/D103,0)</f>
        <v>7.6094638484260749E-2</v>
      </c>
    </row>
    <row r="104" spans="1:13" s="24" customFormat="1" ht="16.5" x14ac:dyDescent="0.25">
      <c r="A104" s="110"/>
      <c r="B104" s="107" t="str">
        <f>+Estado!A138</f>
        <v>E-29901</v>
      </c>
      <c r="C104" s="105" t="str">
        <f>IFERROR(VLOOKUP(B104,Estado!$A$9:$B$505,2,FALSE),0)</f>
        <v>ÚT.Y MAT.OF.Y COMP.</v>
      </c>
      <c r="D104" s="16">
        <f>SUMIF(Estado!$A$9:$A$368,$B104,Estado!$C$9:$C$368)</f>
        <v>21676366</v>
      </c>
      <c r="E104" s="16">
        <f>SUMIF(Estado!$A$9:$A$368,$B104,Estado!$D$9:$D$368)</f>
        <v>21676366</v>
      </c>
      <c r="F104" s="16">
        <f>SUMIF(Estado!$A$9:$A$368,$B104,Estado!$E$9:$E$368)</f>
        <v>0</v>
      </c>
      <c r="G104" s="16">
        <f>SUMIF(Estado!$A$9:$A$368,$B104,Estado!$G$9:$G$368)</f>
        <v>203624</v>
      </c>
      <c r="H104" s="16">
        <f>SUMIF(Estado!$A$9:$A$368,$B104,Estado!$I$9:$I$368)</f>
        <v>0</v>
      </c>
      <c r="I104" s="16">
        <f>SUMIF(Estado!$A$9:$A$368,$B104,Estado!$K$9:$K$368)</f>
        <v>12676909.680000002</v>
      </c>
      <c r="J104" s="16">
        <f t="shared" si="21"/>
        <v>12880533.680000002</v>
      </c>
      <c r="K104" s="16">
        <f>SUMIF(Estado!$A$9:$A$368,$B104,Estado!$O$9:$O$368)</f>
        <v>8795832.3200000003</v>
      </c>
      <c r="L104" s="50">
        <f t="shared" si="22"/>
        <v>0.59422016033499347</v>
      </c>
      <c r="M104" s="50">
        <f t="shared" si="23"/>
        <v>0.40577983966500658</v>
      </c>
    </row>
    <row r="105" spans="1:13" s="24" customFormat="1" ht="16.5" x14ac:dyDescent="0.25">
      <c r="A105" s="110"/>
      <c r="B105" s="107" t="str">
        <f>+Estado!A139</f>
        <v>E-29902</v>
      </c>
      <c r="C105" s="105" t="str">
        <f>IFERROR(VLOOKUP(B105,Estado!$A$9:$B$505,2,FALSE),0)</f>
        <v>UT.Y MAT.MÉD,H.Y INV</v>
      </c>
      <c r="D105" s="16">
        <f>SUMIF(Estado!$A$9:$A$368,$B105,Estado!$C$9:$C$368)</f>
        <v>25945268</v>
      </c>
      <c r="E105" s="16">
        <f>SUMIF(Estado!$A$9:$A$368,$B105,Estado!$D$9:$D$368)</f>
        <v>25945268</v>
      </c>
      <c r="F105" s="16">
        <f>SUMIF(Estado!$A$9:$A$368,$B105,Estado!$E$9:$E$368)</f>
        <v>0</v>
      </c>
      <c r="G105" s="16">
        <f>SUMIF(Estado!$A$9:$A$368,$B105,Estado!$G$9:$G$368)</f>
        <v>5406256.1900000004</v>
      </c>
      <c r="H105" s="16">
        <f>SUMIF(Estado!$A$9:$A$368,$B105,Estado!$I$9:$I$368)</f>
        <v>0</v>
      </c>
      <c r="I105" s="16">
        <f>SUMIF(Estado!$A$9:$A$368,$B105,Estado!$K$9:$K$368)</f>
        <v>14715218.129999999</v>
      </c>
      <c r="J105" s="16">
        <f t="shared" si="21"/>
        <v>20121474.32</v>
      </c>
      <c r="K105" s="16">
        <f>SUMIF(Estado!$A$9:$A$368,$B105,Estado!$O$9:$O$368)</f>
        <v>5823793.6800000006</v>
      </c>
      <c r="L105" s="50">
        <f t="shared" si="22"/>
        <v>0.77553542017758303</v>
      </c>
      <c r="M105" s="50">
        <f t="shared" si="23"/>
        <v>0.22446457982241697</v>
      </c>
    </row>
    <row r="106" spans="1:13" s="24" customFormat="1" ht="16.5" x14ac:dyDescent="0.25">
      <c r="A106" s="110"/>
      <c r="B106" s="107" t="str">
        <f>+Estado!A140</f>
        <v>E-29903</v>
      </c>
      <c r="C106" s="105" t="str">
        <f>IFERROR(VLOOKUP(B106,Estado!$A$9:$B$505,2,FALSE),0)</f>
        <v>PROD.PAPEL,CART.EIMP</v>
      </c>
      <c r="D106" s="16">
        <f>SUMIF(Estado!$A$9:$A$368,$B106,Estado!$C$9:$C$368)</f>
        <v>260806747</v>
      </c>
      <c r="E106" s="16">
        <f>SUMIF(Estado!$A$9:$A$368,$B106,Estado!$D$9:$D$368)</f>
        <v>260806747</v>
      </c>
      <c r="F106" s="16">
        <f>SUMIF(Estado!$A$9:$A$368,$B106,Estado!$E$9:$E$368)</f>
        <v>0</v>
      </c>
      <c r="G106" s="16">
        <f>SUMIF(Estado!$A$9:$A$368,$B106,Estado!$G$9:$G$368)</f>
        <v>20796030.940000001</v>
      </c>
      <c r="H106" s="16">
        <f>SUMIF(Estado!$A$9:$A$368,$B106,Estado!$I$9:$I$368)</f>
        <v>0</v>
      </c>
      <c r="I106" s="16">
        <f>SUMIF(Estado!$A$9:$A$368,$B106,Estado!$K$9:$K$368)</f>
        <v>158357137.47</v>
      </c>
      <c r="J106" s="16">
        <f t="shared" si="21"/>
        <v>179153168.41</v>
      </c>
      <c r="K106" s="16">
        <f>SUMIF(Estado!$A$9:$A$368,$B106,Estado!$O$9:$O$368)</f>
        <v>81653578.590000004</v>
      </c>
      <c r="L106" s="50">
        <f t="shared" si="22"/>
        <v>0.68691922456285226</v>
      </c>
      <c r="M106" s="50">
        <f t="shared" si="23"/>
        <v>0.31308077543714774</v>
      </c>
    </row>
    <row r="107" spans="1:13" s="24" customFormat="1" ht="16.5" x14ac:dyDescent="0.25">
      <c r="A107" s="110"/>
      <c r="B107" s="107" t="str">
        <f>+Estado!A141</f>
        <v>E-29904</v>
      </c>
      <c r="C107" s="105" t="str">
        <f>IFERROR(VLOOKUP(B107,Estado!$A$9:$B$505,2,FALSE),0)</f>
        <v>TEXTILES Y VESTUARIO</v>
      </c>
      <c r="D107" s="16">
        <f>SUMIF(Estado!$A$9:$A$368,$B107,Estado!$C$9:$C$368)</f>
        <v>1200239641</v>
      </c>
      <c r="E107" s="16">
        <f>SUMIF(Estado!$A$9:$A$368,$B107,Estado!$D$9:$D$368)</f>
        <v>1200239641</v>
      </c>
      <c r="F107" s="16">
        <f>SUMIF(Estado!$A$9:$A$368,$B107,Estado!$E$9:$E$368)</f>
        <v>0</v>
      </c>
      <c r="G107" s="16">
        <f>SUMIF(Estado!$A$9:$A$368,$B107,Estado!$G$9:$G$368)</f>
        <v>293236817</v>
      </c>
      <c r="H107" s="16">
        <f>SUMIF(Estado!$A$9:$A$368,$B107,Estado!$I$9:$I$368)</f>
        <v>0</v>
      </c>
      <c r="I107" s="16">
        <f>SUMIF(Estado!$A$9:$A$368,$B107,Estado!$K$9:$K$368)</f>
        <v>859375401.88999999</v>
      </c>
      <c r="J107" s="16">
        <f t="shared" si="21"/>
        <v>1152612218.8899999</v>
      </c>
      <c r="K107" s="16">
        <f>SUMIF(Estado!$A$9:$A$368,$B107,Estado!$O$9:$O$368)</f>
        <v>47627422.109999999</v>
      </c>
      <c r="L107" s="50">
        <f t="shared" si="22"/>
        <v>0.96031840602238516</v>
      </c>
      <c r="M107" s="50">
        <f t="shared" si="23"/>
        <v>3.9681593977614678E-2</v>
      </c>
    </row>
    <row r="108" spans="1:13" s="24" customFormat="1" ht="16.5" x14ac:dyDescent="0.25">
      <c r="A108" s="110"/>
      <c r="B108" s="107" t="str">
        <f>+Estado!A142</f>
        <v>E-29905</v>
      </c>
      <c r="C108" s="105" t="str">
        <f>IFERROR(VLOOKUP(B108,Estado!$A$9:$B$505,2,FALSE),0)</f>
        <v>ÚTILES Y MATER.LIMP</v>
      </c>
      <c r="D108" s="16">
        <f>SUMIF(Estado!$A$9:$A$368,$B108,Estado!$C$9:$C$368)</f>
        <v>332221981</v>
      </c>
      <c r="E108" s="16">
        <f>SUMIF(Estado!$A$9:$A$368,$B108,Estado!$D$9:$D$368)</f>
        <v>332221981</v>
      </c>
      <c r="F108" s="16">
        <f>SUMIF(Estado!$A$9:$A$368,$B108,Estado!$E$9:$E$368)</f>
        <v>0</v>
      </c>
      <c r="G108" s="16">
        <f>SUMIF(Estado!$A$9:$A$368,$B108,Estado!$G$9:$G$368)</f>
        <v>34925514.210000001</v>
      </c>
      <c r="H108" s="16">
        <f>SUMIF(Estado!$A$9:$A$368,$B108,Estado!$I$9:$I$368)</f>
        <v>0</v>
      </c>
      <c r="I108" s="16">
        <f>SUMIF(Estado!$A$9:$A$368,$B108,Estado!$K$9:$K$368)</f>
        <v>281714567.16000003</v>
      </c>
      <c r="J108" s="16">
        <f t="shared" si="21"/>
        <v>316640081.37</v>
      </c>
      <c r="K108" s="16">
        <f>SUMIF(Estado!$A$9:$A$368,$B108,Estado!$O$9:$O$368)</f>
        <v>15581899.630000001</v>
      </c>
      <c r="L108" s="50">
        <f t="shared" si="22"/>
        <v>0.95309792692494966</v>
      </c>
      <c r="M108" s="50">
        <f t="shared" si="23"/>
        <v>4.6902073075050385E-2</v>
      </c>
    </row>
    <row r="109" spans="1:13" s="24" customFormat="1" ht="16.5" x14ac:dyDescent="0.25">
      <c r="A109" s="110"/>
      <c r="B109" s="107" t="str">
        <f>+Estado!A143</f>
        <v>E-29906</v>
      </c>
      <c r="C109" s="105" t="str">
        <f>IFERROR(VLOOKUP(B109,Estado!$A$9:$B$505,2,FALSE),0)</f>
        <v>ÚTILES YMAT.RESG.SEG</v>
      </c>
      <c r="D109" s="16">
        <f>SUMIF(Estado!$A$9:$A$368,$B109,Estado!$C$9:$C$368)</f>
        <v>784617967</v>
      </c>
      <c r="E109" s="16">
        <f>SUMIF(Estado!$A$9:$A$368,$B109,Estado!$D$9:$D$368)</f>
        <v>784617967</v>
      </c>
      <c r="F109" s="16">
        <f>SUMIF(Estado!$A$9:$A$368,$B109,Estado!$E$9:$E$368)</f>
        <v>0</v>
      </c>
      <c r="G109" s="16">
        <f>SUMIF(Estado!$A$9:$A$368,$B109,Estado!$G$9:$G$368)</f>
        <v>425293.25</v>
      </c>
      <c r="H109" s="16">
        <f>SUMIF(Estado!$A$9:$A$368,$B109,Estado!$I$9:$I$368)</f>
        <v>0</v>
      </c>
      <c r="I109" s="16">
        <f>SUMIF(Estado!$A$9:$A$368,$B109,Estado!$K$9:$K$368)</f>
        <v>776956852.45000005</v>
      </c>
      <c r="J109" s="16">
        <f t="shared" si="21"/>
        <v>777382145.70000005</v>
      </c>
      <c r="K109" s="16">
        <f>SUMIF(Estado!$A$9:$A$368,$B109,Estado!$O$9:$O$368)</f>
        <v>7235821.2999999998</v>
      </c>
      <c r="L109" s="50">
        <f t="shared" si="22"/>
        <v>0.99077790516617126</v>
      </c>
      <c r="M109" s="50">
        <f t="shared" si="23"/>
        <v>9.2220948338288568E-3</v>
      </c>
    </row>
    <row r="110" spans="1:13" s="24" customFormat="1" ht="16.5" x14ac:dyDescent="0.25">
      <c r="A110" s="110"/>
      <c r="B110" s="107" t="str">
        <f>+Estado!A144</f>
        <v>E-29907</v>
      </c>
      <c r="C110" s="105" t="str">
        <f>IFERROR(VLOOKUP(B110,Estado!$A$9:$B$505,2,FALSE),0)</f>
        <v>ÚTILES YMAT.COC.YCOM</v>
      </c>
      <c r="D110" s="16">
        <f>SUMIF(Estado!$A$9:$A$368,$B110,Estado!$C$9:$C$368)</f>
        <v>112559000</v>
      </c>
      <c r="E110" s="16">
        <f>SUMIF(Estado!$A$9:$A$368,$B110,Estado!$D$9:$D$368)</f>
        <v>112559000</v>
      </c>
      <c r="F110" s="16">
        <f>SUMIF(Estado!$A$9:$A$368,$B110,Estado!$E$9:$E$368)</f>
        <v>0</v>
      </c>
      <c r="G110" s="16">
        <f>SUMIF(Estado!$A$9:$A$368,$B110,Estado!$G$9:$G$368)</f>
        <v>34005576.770000003</v>
      </c>
      <c r="H110" s="16">
        <f>SUMIF(Estado!$A$9:$A$368,$B110,Estado!$I$9:$I$368)</f>
        <v>0</v>
      </c>
      <c r="I110" s="16">
        <f>SUMIF(Estado!$A$9:$A$368,$B110,Estado!$K$9:$K$368)</f>
        <v>63023805.880000003</v>
      </c>
      <c r="J110" s="16">
        <f t="shared" si="21"/>
        <v>97029382.650000006</v>
      </c>
      <c r="K110" s="16">
        <f>SUMIF(Estado!$A$9:$A$368,$B110,Estado!$O$9:$O$368)</f>
        <v>15529617.35</v>
      </c>
      <c r="L110" s="50">
        <f t="shared" si="22"/>
        <v>0.86203131379987386</v>
      </c>
      <c r="M110" s="50">
        <f t="shared" si="23"/>
        <v>0.13796868620012614</v>
      </c>
    </row>
    <row r="111" spans="1:13" s="24" customFormat="1" ht="16.5" x14ac:dyDescent="0.25">
      <c r="A111" s="110"/>
      <c r="B111" s="107" t="str">
        <f>+Estado!A145</f>
        <v>E-29999</v>
      </c>
      <c r="C111" s="105" t="str">
        <f>IFERROR(VLOOKUP(B111,Estado!$A$9:$B$505,2,FALSE),0)</f>
        <v>OTR.UT,MAT Y SUM.DIV</v>
      </c>
      <c r="D111" s="16">
        <f>SUMIF(Estado!$A$9:$A$368,$B111,Estado!$C$9:$C$368)</f>
        <v>230529687</v>
      </c>
      <c r="E111" s="16">
        <f>SUMIF(Estado!$A$9:$A$368,$B111,Estado!$D$9:$D$368)</f>
        <v>230529687</v>
      </c>
      <c r="F111" s="16">
        <f>SUMIF(Estado!$A$9:$A$368,$B111,Estado!$E$9:$E$368)</f>
        <v>0</v>
      </c>
      <c r="G111" s="16">
        <f>SUMIF(Estado!$A$9:$A$368,$B111,Estado!$G$9:$G$368)</f>
        <v>27405971.25</v>
      </c>
      <c r="H111" s="16">
        <f>SUMIF(Estado!$A$9:$A$368,$B111,Estado!$I$9:$I$368)</f>
        <v>0</v>
      </c>
      <c r="I111" s="16">
        <f>SUMIF(Estado!$A$9:$A$368,$B111,Estado!$K$9:$K$368)</f>
        <v>159477391.31</v>
      </c>
      <c r="J111" s="16">
        <f t="shared" si="21"/>
        <v>186883362.56</v>
      </c>
      <c r="K111" s="16">
        <f>SUMIF(Estado!$A$9:$A$368,$B111,Estado!$O$9:$O$368)</f>
        <v>43646324.439999998</v>
      </c>
      <c r="L111" s="50">
        <f t="shared" si="22"/>
        <v>0.81066939790709036</v>
      </c>
      <c r="M111" s="50">
        <f t="shared" si="23"/>
        <v>0.18933060209290961</v>
      </c>
    </row>
    <row r="112" spans="1:13" s="23" customFormat="1" ht="17.25" x14ac:dyDescent="0.25">
      <c r="A112" s="108"/>
      <c r="B112" s="109" t="str">
        <f>+Estado!A146</f>
        <v>E-5</v>
      </c>
      <c r="C112" s="106" t="str">
        <f>IFERROR(VLOOKUP(B112,Estado!$A$9:$B$505,2,FALSE),0)</f>
        <v>BIENES DURADEROS</v>
      </c>
      <c r="D112" s="22">
        <f>+D113+D122+D125</f>
        <v>3939399444</v>
      </c>
      <c r="E112" s="22">
        <f t="shared" ref="E112:K112" si="24">+E113+E122+E125</f>
        <v>3939399444</v>
      </c>
      <c r="F112" s="22">
        <f t="shared" si="24"/>
        <v>0</v>
      </c>
      <c r="G112" s="22">
        <f t="shared" si="24"/>
        <v>788244237.63</v>
      </c>
      <c r="H112" s="22">
        <f t="shared" si="24"/>
        <v>0</v>
      </c>
      <c r="I112" s="22">
        <f t="shared" si="24"/>
        <v>2785787519.5599999</v>
      </c>
      <c r="J112" s="22">
        <f t="shared" si="24"/>
        <v>3574031757.1900001</v>
      </c>
      <c r="K112" s="22">
        <f t="shared" si="24"/>
        <v>365367686.81</v>
      </c>
      <c r="L112" s="67">
        <f t="shared" si="11"/>
        <v>0.90725294756121211</v>
      </c>
      <c r="M112" s="67">
        <f t="shared" si="12"/>
        <v>9.2747052438787933E-2</v>
      </c>
    </row>
    <row r="113" spans="1:13" s="24" customFormat="1" ht="16.5" x14ac:dyDescent="0.25">
      <c r="A113" s="110"/>
      <c r="B113" s="107" t="str">
        <f>+Estado!A147</f>
        <v>E-501</v>
      </c>
      <c r="C113" s="105" t="str">
        <f>IFERROR(VLOOKUP(B113,Estado!$A$9:$B$505,2,FALSE),0)</f>
        <v>MAQ, EQUIPO Y MOB</v>
      </c>
      <c r="D113" s="16">
        <f>SUMIF(Estado!$A$9:$A$368,$B113,Estado!$C$9:$C$368)</f>
        <v>1660534663</v>
      </c>
      <c r="E113" s="16">
        <f>SUMIF(Estado!$A$9:$A$368,$B113,Estado!$D$9:$D$368)</f>
        <v>1660534663</v>
      </c>
      <c r="F113" s="16">
        <f>SUMIF(Estado!$A$9:$A$368,$B113,Estado!$E$9:$E$368)</f>
        <v>0</v>
      </c>
      <c r="G113" s="16">
        <f>SUMIF(Estado!$A$9:$A$368,$B113,Estado!$G$9:$G$368)</f>
        <v>142828736.31</v>
      </c>
      <c r="H113" s="16">
        <f>SUMIF(Estado!$A$9:$A$368,$B113,Estado!$I$9:$I$368)</f>
        <v>0</v>
      </c>
      <c r="I113" s="16">
        <f>SUMIF(Estado!$A$9:$A$368,$B113,Estado!$K$9:$K$368)</f>
        <v>1395113472.3999999</v>
      </c>
      <c r="J113" s="16">
        <f t="shared" si="13"/>
        <v>1537942208.7099998</v>
      </c>
      <c r="K113" s="16">
        <f>SUMIF(Estado!$A$9:$A$368,$B113,Estado!$O$9:$O$368)</f>
        <v>122592454.28999999</v>
      </c>
      <c r="L113" s="50">
        <f t="shared" si="11"/>
        <v>0.92617290260685137</v>
      </c>
      <c r="M113" s="50">
        <f t="shared" si="12"/>
        <v>7.382709739314848E-2</v>
      </c>
    </row>
    <row r="114" spans="1:13" s="24" customFormat="1" ht="16.5" x14ac:dyDescent="0.25">
      <c r="A114" s="110"/>
      <c r="B114" s="107" t="str">
        <f>+Estado!A148</f>
        <v>E-50101</v>
      </c>
      <c r="C114" s="105" t="str">
        <f>IFERROR(VLOOKUP(B114,Estado!$A$9:$B$505,2,FALSE),0)</f>
        <v>MAQ.Y EQ. PRODUCCIÓN</v>
      </c>
      <c r="D114" s="16">
        <f>SUMIF(Estado!$A$9:$A$368,$B114,Estado!$C$9:$C$368)</f>
        <v>59455528</v>
      </c>
      <c r="E114" s="16">
        <f>SUMIF(Estado!$A$9:$A$368,$B114,Estado!$D$9:$D$368)</f>
        <v>59455528</v>
      </c>
      <c r="F114" s="16">
        <f>SUMIF(Estado!$A$9:$A$368,$B114,Estado!$E$9:$E$368)</f>
        <v>0</v>
      </c>
      <c r="G114" s="16">
        <f>SUMIF(Estado!$A$9:$A$368,$B114,Estado!$G$9:$G$368)</f>
        <v>0</v>
      </c>
      <c r="H114" s="16">
        <f>SUMIF(Estado!$A$9:$A$368,$B114,Estado!$I$9:$I$368)</f>
        <v>0</v>
      </c>
      <c r="I114" s="16">
        <f>SUMIF(Estado!$A$9:$A$368,$B114,Estado!$K$9:$K$368)</f>
        <v>55229745.359999999</v>
      </c>
      <c r="J114" s="16">
        <f t="shared" si="13"/>
        <v>55229745.359999999</v>
      </c>
      <c r="K114" s="16">
        <f>SUMIF(Estado!$A$9:$A$368,$B114,Estado!$O$9:$O$368)</f>
        <v>4225782.6400000006</v>
      </c>
      <c r="L114" s="50">
        <f t="shared" si="11"/>
        <v>0.92892531977850734</v>
      </c>
      <c r="M114" s="50">
        <f t="shared" si="12"/>
        <v>7.1074680221492617E-2</v>
      </c>
    </row>
    <row r="115" spans="1:13" s="24" customFormat="1" ht="16.5" x14ac:dyDescent="0.25">
      <c r="A115" s="110"/>
      <c r="B115" s="107" t="str">
        <f>+Estado!A149</f>
        <v>E-50102</v>
      </c>
      <c r="C115" s="105" t="str">
        <f>IFERROR(VLOOKUP(B115,Estado!$A$9:$B$505,2,FALSE),0)</f>
        <v>EQUIPO DE TRANSPORTE</v>
      </c>
      <c r="D115" s="16">
        <f>SUMIF(Estado!$A$9:$A$368,$B115,Estado!$C$9:$C$368)</f>
        <v>187115000</v>
      </c>
      <c r="E115" s="16">
        <f>SUMIF(Estado!$A$9:$A$368,$B115,Estado!$D$9:$D$368)</f>
        <v>187115000</v>
      </c>
      <c r="F115" s="16">
        <f>SUMIF(Estado!$A$9:$A$368,$B115,Estado!$E$9:$E$368)</f>
        <v>0</v>
      </c>
      <c r="G115" s="16">
        <f>SUMIF(Estado!$A$9:$A$368,$B115,Estado!$G$9:$G$368)</f>
        <v>31538951.91</v>
      </c>
      <c r="H115" s="16">
        <f>SUMIF(Estado!$A$9:$A$368,$B115,Estado!$I$9:$I$368)</f>
        <v>0</v>
      </c>
      <c r="I115" s="16">
        <f>SUMIF(Estado!$A$9:$A$368,$B115,Estado!$K$9:$K$368)</f>
        <v>149908360.56</v>
      </c>
      <c r="J115" s="16">
        <f t="shared" si="13"/>
        <v>181447312.47</v>
      </c>
      <c r="K115" s="16">
        <f>SUMIF(Estado!$A$9:$A$368,$B115,Estado!$O$9:$O$368)</f>
        <v>5667687.5299999993</v>
      </c>
      <c r="L115" s="50">
        <f t="shared" si="11"/>
        <v>0.96971013799000616</v>
      </c>
      <c r="M115" s="50">
        <f t="shared" si="12"/>
        <v>3.028986200999385E-2</v>
      </c>
    </row>
    <row r="116" spans="1:13" s="24" customFormat="1" ht="16.5" x14ac:dyDescent="0.25">
      <c r="A116" s="110"/>
      <c r="B116" s="107" t="str">
        <f>+Estado!A150</f>
        <v>E-50103</v>
      </c>
      <c r="C116" s="105" t="str">
        <f>IFERROR(VLOOKUP(B116,Estado!$A$9:$B$505,2,FALSE),0)</f>
        <v>EQ. DE COMUNICACIÓN</v>
      </c>
      <c r="D116" s="16">
        <f>SUMIF(Estado!$A$9:$A$368,$B116,Estado!$C$9:$C$368)</f>
        <v>304861325</v>
      </c>
      <c r="E116" s="16">
        <f>SUMIF(Estado!$A$9:$A$368,$B116,Estado!$D$9:$D$368)</f>
        <v>304861325</v>
      </c>
      <c r="F116" s="16">
        <f>SUMIF(Estado!$A$9:$A$368,$B116,Estado!$E$9:$E$368)</f>
        <v>0</v>
      </c>
      <c r="G116" s="16">
        <f>SUMIF(Estado!$A$9:$A$368,$B116,Estado!$G$9:$G$368)</f>
        <v>16197.33</v>
      </c>
      <c r="H116" s="16">
        <f>SUMIF(Estado!$A$9:$A$368,$B116,Estado!$I$9:$I$368)</f>
        <v>0</v>
      </c>
      <c r="I116" s="16">
        <f>SUMIF(Estado!$A$9:$A$368,$B116,Estado!$K$9:$K$368)</f>
        <v>276285593.19999999</v>
      </c>
      <c r="J116" s="16">
        <f t="shared" si="13"/>
        <v>276301790.52999997</v>
      </c>
      <c r="K116" s="16">
        <f>SUMIF(Estado!$A$9:$A$368,$B116,Estado!$O$9:$O$368)</f>
        <v>28559534.469999999</v>
      </c>
      <c r="L116" s="50">
        <f t="shared" si="11"/>
        <v>0.90631958819309066</v>
      </c>
      <c r="M116" s="50">
        <f t="shared" si="12"/>
        <v>9.3680411806909253E-2</v>
      </c>
    </row>
    <row r="117" spans="1:13" s="24" customFormat="1" ht="16.5" x14ac:dyDescent="0.25">
      <c r="A117" s="110"/>
      <c r="B117" s="107" t="str">
        <f>+Estado!A151</f>
        <v>E-50104</v>
      </c>
      <c r="C117" s="105" t="str">
        <f>IFERROR(VLOOKUP(B117,Estado!$A$9:$B$505,2,FALSE),0)</f>
        <v>EQUIPO Y MOB. OFIC.</v>
      </c>
      <c r="D117" s="16">
        <f>SUMIF(Estado!$A$9:$A$368,$B117,Estado!$C$9:$C$368)</f>
        <v>139093410</v>
      </c>
      <c r="E117" s="16">
        <f>SUMIF(Estado!$A$9:$A$368,$B117,Estado!$D$9:$D$368)</f>
        <v>139093410</v>
      </c>
      <c r="F117" s="16">
        <f>SUMIF(Estado!$A$9:$A$368,$B117,Estado!$E$9:$E$368)</f>
        <v>0</v>
      </c>
      <c r="G117" s="16">
        <f>SUMIF(Estado!$A$9:$A$368,$B117,Estado!$G$9:$G$368)</f>
        <v>10755004</v>
      </c>
      <c r="H117" s="16">
        <f>SUMIF(Estado!$A$9:$A$368,$B117,Estado!$I$9:$I$368)</f>
        <v>0</v>
      </c>
      <c r="I117" s="16">
        <f>SUMIF(Estado!$A$9:$A$368,$B117,Estado!$K$9:$K$368)</f>
        <v>101222137.55</v>
      </c>
      <c r="J117" s="16">
        <f t="shared" si="13"/>
        <v>111977141.55</v>
      </c>
      <c r="K117" s="16">
        <f>SUMIF(Estado!$A$9:$A$368,$B117,Estado!$O$9:$O$368)</f>
        <v>27116268.449999999</v>
      </c>
      <c r="L117" s="50">
        <f t="shared" si="11"/>
        <v>0.80504994125889928</v>
      </c>
      <c r="M117" s="50">
        <f t="shared" si="12"/>
        <v>0.19495005874110066</v>
      </c>
    </row>
    <row r="118" spans="1:13" s="24" customFormat="1" ht="16.5" x14ac:dyDescent="0.25">
      <c r="A118" s="110"/>
      <c r="B118" s="107" t="str">
        <f>+Estado!A152</f>
        <v>E-50105</v>
      </c>
      <c r="C118" s="105" t="str">
        <f>IFERROR(VLOOKUP(B118,Estado!$A$9:$B$505,2,FALSE),0)</f>
        <v>EQ.Y PROGR. CÓMPUTO</v>
      </c>
      <c r="D118" s="16">
        <f>SUMIF(Estado!$A$9:$A$368,$B118,Estado!$C$9:$C$368)</f>
        <v>215530400</v>
      </c>
      <c r="E118" s="16">
        <f>SUMIF(Estado!$A$9:$A$368,$B118,Estado!$D$9:$D$368)</f>
        <v>215530400</v>
      </c>
      <c r="F118" s="16">
        <f>SUMIF(Estado!$A$9:$A$368,$B118,Estado!$E$9:$E$368)</f>
        <v>0</v>
      </c>
      <c r="G118" s="16">
        <f>SUMIF(Estado!$A$9:$A$368,$B118,Estado!$G$9:$G$368)</f>
        <v>15613250.310000001</v>
      </c>
      <c r="H118" s="16">
        <f>SUMIF(Estado!$A$9:$A$368,$B118,Estado!$I$9:$I$368)</f>
        <v>0</v>
      </c>
      <c r="I118" s="16">
        <f>SUMIF(Estado!$A$9:$A$368,$B118,Estado!$K$9:$K$368)</f>
        <v>187943269.47000003</v>
      </c>
      <c r="J118" s="16">
        <f t="shared" si="13"/>
        <v>203556519.78000003</v>
      </c>
      <c r="K118" s="16">
        <f>SUMIF(Estado!$A$9:$A$368,$B118,Estado!$O$9:$O$368)</f>
        <v>11973880.220000001</v>
      </c>
      <c r="L118" s="50">
        <f t="shared" si="11"/>
        <v>0.94444458777044926</v>
      </c>
      <c r="M118" s="50">
        <f t="shared" si="12"/>
        <v>5.5555412229550918E-2</v>
      </c>
    </row>
    <row r="119" spans="1:13" s="24" customFormat="1" ht="16.5" x14ac:dyDescent="0.25">
      <c r="A119" s="110"/>
      <c r="B119" s="107" t="str">
        <f>+Estado!A153</f>
        <v>E-50106</v>
      </c>
      <c r="C119" s="105" t="str">
        <f>IFERROR(VLOOKUP(B119,Estado!$A$9:$B$505,2,FALSE),0)</f>
        <v>EQ.SANIT, LAB. E INV</v>
      </c>
      <c r="D119" s="16">
        <f>SUMIF(Estado!$A$9:$A$368,$B119,Estado!$C$9:$C$368)</f>
        <v>58305000</v>
      </c>
      <c r="E119" s="16">
        <f>SUMIF(Estado!$A$9:$A$368,$B119,Estado!$D$9:$D$368)</f>
        <v>58305000</v>
      </c>
      <c r="F119" s="16">
        <f>SUMIF(Estado!$A$9:$A$368,$B119,Estado!$E$9:$E$368)</f>
        <v>0</v>
      </c>
      <c r="G119" s="16">
        <f>SUMIF(Estado!$A$9:$A$368,$B119,Estado!$G$9:$G$368)</f>
        <v>16335295.529999999</v>
      </c>
      <c r="H119" s="16">
        <f>SUMIF(Estado!$A$9:$A$368,$B119,Estado!$I$9:$I$368)</f>
        <v>0</v>
      </c>
      <c r="I119" s="16">
        <f>SUMIF(Estado!$A$9:$A$368,$B119,Estado!$K$9:$K$368)</f>
        <v>40805935.530000001</v>
      </c>
      <c r="J119" s="16">
        <f t="shared" si="13"/>
        <v>57141231.060000002</v>
      </c>
      <c r="K119" s="16">
        <f>SUMIF(Estado!$A$9:$A$368,$B119,Estado!$O$9:$O$368)</f>
        <v>1163768.94</v>
      </c>
      <c r="L119" s="50">
        <f t="shared" si="11"/>
        <v>0.98003998044764606</v>
      </c>
      <c r="M119" s="50">
        <f t="shared" si="12"/>
        <v>1.9960019552353998E-2</v>
      </c>
    </row>
    <row r="120" spans="1:13" s="24" customFormat="1" ht="16.5" x14ac:dyDescent="0.25">
      <c r="A120" s="110"/>
      <c r="B120" s="107" t="str">
        <f>+Estado!A154</f>
        <v>E-50107</v>
      </c>
      <c r="C120" s="105" t="str">
        <f>IFERROR(VLOOKUP(B120,Estado!$A$9:$B$505,2,FALSE),0)</f>
        <v>EQ.YMOB.EDUC,DEP.Y R</v>
      </c>
      <c r="D120" s="16">
        <f>SUMIF(Estado!$A$9:$A$368,$B120,Estado!$C$9:$C$368)</f>
        <v>8076000</v>
      </c>
      <c r="E120" s="16">
        <f>SUMIF(Estado!$A$9:$A$368,$B120,Estado!$D$9:$D$368)</f>
        <v>8076000</v>
      </c>
      <c r="F120" s="16">
        <f>SUMIF(Estado!$A$9:$A$368,$B120,Estado!$E$9:$E$368)</f>
        <v>0</v>
      </c>
      <c r="G120" s="16">
        <f>SUMIF(Estado!$A$9:$A$368,$B120,Estado!$G$9:$G$368)</f>
        <v>3981450</v>
      </c>
      <c r="H120" s="16">
        <f>SUMIF(Estado!$A$9:$A$368,$B120,Estado!$I$9:$I$368)</f>
        <v>0</v>
      </c>
      <c r="I120" s="16">
        <f>SUMIF(Estado!$A$9:$A$368,$B120,Estado!$K$9:$K$368)</f>
        <v>3379289</v>
      </c>
      <c r="J120" s="16">
        <f t="shared" si="13"/>
        <v>7360739</v>
      </c>
      <c r="K120" s="16">
        <f>SUMIF(Estado!$A$9:$A$368,$B120,Estado!$O$9:$O$368)</f>
        <v>715261</v>
      </c>
      <c r="L120" s="50">
        <f t="shared" si="11"/>
        <v>0.91143375433382867</v>
      </c>
      <c r="M120" s="50">
        <f t="shared" si="12"/>
        <v>8.856624566617137E-2</v>
      </c>
    </row>
    <row r="121" spans="1:13" s="24" customFormat="1" ht="16.5" x14ac:dyDescent="0.25">
      <c r="A121" s="110"/>
      <c r="B121" s="107" t="str">
        <f>+Estado!A155</f>
        <v>E-50199</v>
      </c>
      <c r="C121" s="105" t="str">
        <f>IFERROR(VLOOKUP(B121,Estado!$A$9:$B$505,2,FALSE),0)</f>
        <v>MAQ,EQ Y MOV.DIVERSO</v>
      </c>
      <c r="D121" s="16">
        <f>SUMIF(Estado!$A$9:$A$368,$B121,Estado!$C$9:$C$368)</f>
        <v>688098000</v>
      </c>
      <c r="E121" s="16">
        <f>SUMIF(Estado!$A$9:$A$368,$B121,Estado!$D$9:$D$368)</f>
        <v>688098000</v>
      </c>
      <c r="F121" s="16">
        <f>SUMIF(Estado!$A$9:$A$368,$B121,Estado!$E$9:$E$368)</f>
        <v>0</v>
      </c>
      <c r="G121" s="16">
        <f>SUMIF(Estado!$A$9:$A$368,$B121,Estado!$G$9:$G$368)</f>
        <v>64588587.229999997</v>
      </c>
      <c r="H121" s="16">
        <f>SUMIF(Estado!$A$9:$A$368,$B121,Estado!$I$9:$I$368)</f>
        <v>0</v>
      </c>
      <c r="I121" s="16">
        <f>SUMIF(Estado!$A$9:$A$368,$B121,Estado!$K$9:$K$368)</f>
        <v>580339141.73000002</v>
      </c>
      <c r="J121" s="16">
        <f t="shared" si="13"/>
        <v>644927728.96000004</v>
      </c>
      <c r="K121" s="16">
        <f>SUMIF(Estado!$A$9:$A$368,$B121,Estado!$O$9:$O$368)</f>
        <v>43170271.040000007</v>
      </c>
      <c r="L121" s="50">
        <f t="shared" si="11"/>
        <v>0.93726144961909497</v>
      </c>
      <c r="M121" s="50">
        <f t="shared" si="12"/>
        <v>6.2738550380905062E-2</v>
      </c>
    </row>
    <row r="122" spans="1:13" s="24" customFormat="1" ht="16.5" x14ac:dyDescent="0.25">
      <c r="A122" s="110"/>
      <c r="B122" s="107" t="str">
        <f>+Estado!A156</f>
        <v>E-502</v>
      </c>
      <c r="C122" s="105" t="str">
        <f>IFERROR(VLOOKUP(B122,Estado!$A$9:$B$505,2,FALSE),0)</f>
        <v>CONST, ADIC YMEJORAS</v>
      </c>
      <c r="D122" s="16">
        <f>SUMIF(Estado!$A$9:$A$368,$B122,Estado!$C$9:$C$368)</f>
        <v>1893431799</v>
      </c>
      <c r="E122" s="16">
        <f>SUMIF(Estado!$A$9:$A$368,$B122,Estado!$D$9:$D$368)</f>
        <v>1893431799</v>
      </c>
      <c r="F122" s="16">
        <f>SUMIF(Estado!$A$9:$A$368,$B122,Estado!$E$9:$E$368)</f>
        <v>0</v>
      </c>
      <c r="G122" s="16">
        <f>SUMIF(Estado!$A$9:$A$368,$B122,Estado!$G$9:$G$368)</f>
        <v>642637998.9000001</v>
      </c>
      <c r="H122" s="16">
        <f>SUMIF(Estado!$A$9:$A$368,$B122,Estado!$I$9:$I$368)</f>
        <v>0</v>
      </c>
      <c r="I122" s="16">
        <f>SUMIF(Estado!$A$9:$A$368,$B122,Estado!$K$9:$K$368)</f>
        <v>1033151631.14</v>
      </c>
      <c r="J122" s="16">
        <f t="shared" si="13"/>
        <v>1675789630.04</v>
      </c>
      <c r="K122" s="16">
        <f>SUMIF(Estado!$A$9:$A$368,$B122,Estado!$O$9:$O$368)</f>
        <v>217642168.96000001</v>
      </c>
      <c r="L122" s="50">
        <f t="shared" si="11"/>
        <v>0.88505412813128737</v>
      </c>
      <c r="M122" s="50">
        <f t="shared" si="12"/>
        <v>0.11494587186871261</v>
      </c>
    </row>
    <row r="123" spans="1:13" s="23" customFormat="1" ht="16.5" x14ac:dyDescent="0.25">
      <c r="A123" s="108"/>
      <c r="B123" s="107" t="str">
        <f>+Estado!A157</f>
        <v>E-50201</v>
      </c>
      <c r="C123" s="105" t="str">
        <f>IFERROR(VLOOKUP(B123,Estado!$A$9:$B$505,2,FALSE),0)</f>
        <v>EDIFICIOS</v>
      </c>
      <c r="D123" s="16">
        <f>SUMIF(Estado!$A$9:$A$368,$B123,Estado!$C$9:$C$368)</f>
        <v>1884669800</v>
      </c>
      <c r="E123" s="16">
        <f>SUMIF(Estado!$A$9:$A$368,$B123,Estado!$D$9:$D$368)</f>
        <v>1884669800</v>
      </c>
      <c r="F123" s="16">
        <f>SUMIF(Estado!$A$9:$A$368,$B123,Estado!$E$9:$E$368)</f>
        <v>0</v>
      </c>
      <c r="G123" s="16">
        <f>SUMIF(Estado!$A$9:$A$368,$B123,Estado!$G$9:$G$368)</f>
        <v>641963999.9000001</v>
      </c>
      <c r="H123" s="16">
        <f>SUMIF(Estado!$A$9:$A$368,$B123,Estado!$I$9:$I$368)</f>
        <v>0</v>
      </c>
      <c r="I123" s="16">
        <f>SUMIF(Estado!$A$9:$A$368,$B123,Estado!$K$9:$K$368)</f>
        <v>1025063631.1800001</v>
      </c>
      <c r="J123" s="16">
        <f t="shared" si="13"/>
        <v>1667027631.0800002</v>
      </c>
      <c r="K123" s="16">
        <f>SUMIF(Estado!$A$9:$A$368,$B123,Estado!$O$9:$O$368)</f>
        <v>217642168.92000002</v>
      </c>
      <c r="L123" s="50">
        <f t="shared" si="11"/>
        <v>0.88451973448080945</v>
      </c>
      <c r="M123" s="50">
        <f t="shared" si="12"/>
        <v>0.11548026551919069</v>
      </c>
    </row>
    <row r="124" spans="1:13" s="24" customFormat="1" ht="16.5" x14ac:dyDescent="0.25">
      <c r="A124" s="110"/>
      <c r="B124" s="107" t="str">
        <f>+Estado!A158</f>
        <v>E-50207</v>
      </c>
      <c r="C124" s="105" t="str">
        <f>IFERROR(VLOOKUP(B124,Estado!$A$9:$B$505,2,FALSE),0)</f>
        <v>INSTALACIONES</v>
      </c>
      <c r="D124" s="16">
        <f>SUMIF(Estado!$A$9:$A$368,$B124,Estado!$C$9:$C$368)</f>
        <v>8761999</v>
      </c>
      <c r="E124" s="16">
        <f>SUMIF(Estado!$A$9:$A$368,$B124,Estado!$D$9:$D$368)</f>
        <v>8761999</v>
      </c>
      <c r="F124" s="16">
        <f>SUMIF(Estado!$A$9:$A$368,$B124,Estado!$E$9:$E$368)</f>
        <v>0</v>
      </c>
      <c r="G124" s="16">
        <f>SUMIF(Estado!$A$9:$A$368,$B124,Estado!$G$9:$G$368)</f>
        <v>673999</v>
      </c>
      <c r="H124" s="16">
        <f>SUMIF(Estado!$A$9:$A$368,$B124,Estado!$I$9:$I$368)</f>
        <v>0</v>
      </c>
      <c r="I124" s="16">
        <f>SUMIF(Estado!$A$9:$A$368,$B124,Estado!$K$9:$K$368)</f>
        <v>8087999.96</v>
      </c>
      <c r="J124" s="16">
        <f t="shared" si="13"/>
        <v>8761998.9600000009</v>
      </c>
      <c r="K124" s="16">
        <f>SUMIF(Estado!$A$9:$A$368,$B124,Estado!$O$9:$O$368)</f>
        <v>0.04</v>
      </c>
      <c r="L124" s="50">
        <f t="shared" si="11"/>
        <v>0.99999999543483176</v>
      </c>
      <c r="M124" s="50">
        <f t="shared" si="12"/>
        <v>4.5651682909345229E-9</v>
      </c>
    </row>
    <row r="125" spans="1:13" s="24" customFormat="1" ht="16.5" x14ac:dyDescent="0.25">
      <c r="A125" s="110"/>
      <c r="B125" s="107" t="str">
        <f>+Estado!A159</f>
        <v>E-599</v>
      </c>
      <c r="C125" s="105" t="str">
        <f>IFERROR(VLOOKUP(B125,Estado!$A$9:$B$505,2,FALSE),0)</f>
        <v>BIENES DURADEROS DIV</v>
      </c>
      <c r="D125" s="16">
        <f>SUMIF(Estado!$A$9:$A$368,$B125,Estado!$C$9:$C$368)</f>
        <v>385432982</v>
      </c>
      <c r="E125" s="16">
        <f>SUMIF(Estado!$A$9:$A$368,$B125,Estado!$D$9:$D$368)</f>
        <v>385432982</v>
      </c>
      <c r="F125" s="16">
        <f>SUMIF(Estado!$A$9:$A$368,$B125,Estado!$E$9:$E$368)</f>
        <v>0</v>
      </c>
      <c r="G125" s="16">
        <f>SUMIF(Estado!$A$9:$A$368,$B125,Estado!$G$9:$G$368)</f>
        <v>2777502.42</v>
      </c>
      <c r="H125" s="16">
        <f>SUMIF(Estado!$A$9:$A$368,$B125,Estado!$I$9:$I$368)</f>
        <v>0</v>
      </c>
      <c r="I125" s="16">
        <f>SUMIF(Estado!$A$9:$A$368,$B125,Estado!$K$9:$K$368)</f>
        <v>357522416.01999998</v>
      </c>
      <c r="J125" s="16">
        <f t="shared" si="13"/>
        <v>360299918.44</v>
      </c>
      <c r="K125" s="16">
        <f>SUMIF(Estado!$A$9:$A$368,$B125,Estado!$O$9:$O$368)</f>
        <v>25133063.560000002</v>
      </c>
      <c r="L125" s="50">
        <f t="shared" si="11"/>
        <v>0.93479264947803553</v>
      </c>
      <c r="M125" s="50">
        <f t="shared" si="12"/>
        <v>6.5207350521964413E-2</v>
      </c>
    </row>
    <row r="126" spans="1:13" s="24" customFormat="1" ht="16.5" x14ac:dyDescent="0.25">
      <c r="A126" s="110"/>
      <c r="B126" s="107" t="str">
        <f>+Estado!A160</f>
        <v>E-59903</v>
      </c>
      <c r="C126" s="105" t="str">
        <f>IFERROR(VLOOKUP(B126,Estado!$A$9:$B$505,2,FALSE),0)</f>
        <v>BIENES INTANGIBLES</v>
      </c>
      <c r="D126" s="16">
        <f>SUMIF(Estado!$A$9:$A$368,$B126,Estado!$C$9:$C$368)</f>
        <v>385432982</v>
      </c>
      <c r="E126" s="16">
        <f>SUMIF(Estado!$A$9:$A$368,$B126,Estado!$D$9:$D$368)</f>
        <v>385432982</v>
      </c>
      <c r="F126" s="16">
        <f>SUMIF(Estado!$A$9:$A$368,$B126,Estado!$E$9:$E$368)</f>
        <v>0</v>
      </c>
      <c r="G126" s="16">
        <f>SUMIF(Estado!$A$9:$A$368,$B126,Estado!$G$9:$G$368)</f>
        <v>2777502.42</v>
      </c>
      <c r="H126" s="16">
        <f>SUMIF(Estado!$A$9:$A$368,$B126,Estado!$I$9:$I$368)</f>
        <v>0</v>
      </c>
      <c r="I126" s="16">
        <f>SUMIF(Estado!$A$9:$A$368,$B126,Estado!$K$9:$K$368)</f>
        <v>357522416.01999998</v>
      </c>
      <c r="J126" s="16">
        <f t="shared" si="13"/>
        <v>360299918.44</v>
      </c>
      <c r="K126" s="16">
        <f>SUMIF(Estado!$A$9:$A$368,$B126,Estado!$O$9:$O$368)</f>
        <v>25133063.560000002</v>
      </c>
      <c r="L126" s="50">
        <f t="shared" si="11"/>
        <v>0.93479264947803553</v>
      </c>
      <c r="M126" s="50">
        <f t="shared" si="12"/>
        <v>6.5207350521964413E-2</v>
      </c>
    </row>
    <row r="127" spans="1:13" s="23" customFormat="1" ht="17.25" x14ac:dyDescent="0.25">
      <c r="A127" s="108"/>
      <c r="B127" s="109" t="str">
        <f>+Estado!A161</f>
        <v>E-6</v>
      </c>
      <c r="C127" s="106" t="str">
        <f>IFERROR(VLOOKUP(B127,Estado!$A$9:$B$505,2,FALSE),0)</f>
        <v>TRANSF. CORRIENTES</v>
      </c>
      <c r="D127" s="22">
        <f>+D128+D131+D133+D136+D139</f>
        <v>4153313177.1700001</v>
      </c>
      <c r="E127" s="22">
        <f t="shared" ref="E127:K127" si="25">+E128+E131+E133+E136+E139</f>
        <v>4153313177.1700001</v>
      </c>
      <c r="F127" s="22">
        <f t="shared" si="25"/>
        <v>0</v>
      </c>
      <c r="G127" s="22">
        <f t="shared" si="25"/>
        <v>77872794.379999995</v>
      </c>
      <c r="H127" s="22">
        <f t="shared" si="25"/>
        <v>0</v>
      </c>
      <c r="I127" s="22">
        <f t="shared" si="25"/>
        <v>3804502099.5099998</v>
      </c>
      <c r="J127" s="22">
        <f t="shared" si="25"/>
        <v>3882374893.8899999</v>
      </c>
      <c r="K127" s="22">
        <f t="shared" si="25"/>
        <v>270938283.28000003</v>
      </c>
      <c r="L127" s="67">
        <f t="shared" si="11"/>
        <v>0.93476574683332381</v>
      </c>
      <c r="M127" s="67">
        <f t="shared" si="12"/>
        <v>6.5234253166676193E-2</v>
      </c>
    </row>
    <row r="128" spans="1:13" s="24" customFormat="1" ht="16.5" x14ac:dyDescent="0.25">
      <c r="A128" s="110"/>
      <c r="B128" s="107" t="str">
        <f>+Estado!A162</f>
        <v>E-601</v>
      </c>
      <c r="C128" s="105" t="str">
        <f>IFERROR(VLOOKUP(B128,Estado!$A$9:$B$505,2,FALSE),0)</f>
        <v>TRANSF CTES S. PUB</v>
      </c>
      <c r="D128" s="16">
        <f>SUMIF(Estado!$A$9:$A$368,$B128,Estado!$C$9:$C$368)</f>
        <v>1086141042</v>
      </c>
      <c r="E128" s="16">
        <f>SUMIF(Estado!$A$9:$A$368,$B128,Estado!$D$9:$D$368)</f>
        <v>1086141042</v>
      </c>
      <c r="F128" s="16">
        <f>SUMIF(Estado!$A$9:$A$368,$B128,Estado!$E$9:$E$368)</f>
        <v>0</v>
      </c>
      <c r="G128" s="16">
        <f>SUMIF(Estado!$A$9:$A$368,$B128,Estado!$G$9:$G$368)</f>
        <v>0</v>
      </c>
      <c r="H128" s="16">
        <f>SUMIF(Estado!$A$9:$A$368,$B128,Estado!$I$9:$I$368)</f>
        <v>0</v>
      </c>
      <c r="I128" s="16">
        <f>SUMIF(Estado!$A$9:$A$368,$B128,Estado!$K$9:$K$368)</f>
        <v>992174362.75999987</v>
      </c>
      <c r="J128" s="16">
        <f t="shared" si="13"/>
        <v>992174362.75999987</v>
      </c>
      <c r="K128" s="16">
        <f>SUMIF(Estado!$A$9:$A$368,$B128,Estado!$O$9:$O$368)</f>
        <v>93966679.24000001</v>
      </c>
      <c r="L128" s="50">
        <f t="shared" si="11"/>
        <v>0.91348574852951725</v>
      </c>
      <c r="M128" s="50">
        <f t="shared" si="12"/>
        <v>8.6514251470482612E-2</v>
      </c>
    </row>
    <row r="129" spans="1:13" s="24" customFormat="1" ht="16.5" x14ac:dyDescent="0.25">
      <c r="A129" s="110"/>
      <c r="B129" s="107" t="str">
        <f>+Estado!A163</f>
        <v>E-60102</v>
      </c>
      <c r="C129" s="105" t="str">
        <f>IFERROR(VLOOKUP(B129,Estado!$A$9:$B$505,2,FALSE),0)</f>
        <v>TRANSF.CTE ORG.DESC</v>
      </c>
      <c r="D129" s="16">
        <f>SUMIF(Estado!$A$9:$A$368,$B129,Estado!$C$9:$C$368)</f>
        <v>481500000</v>
      </c>
      <c r="E129" s="16">
        <f>SUMIF(Estado!$A$9:$A$368,$B129,Estado!$D$9:$D$368)</f>
        <v>481500000</v>
      </c>
      <c r="F129" s="16">
        <f>SUMIF(Estado!$A$9:$A$368,$B129,Estado!$E$9:$E$368)</f>
        <v>0</v>
      </c>
      <c r="G129" s="16">
        <f>SUMIF(Estado!$A$9:$A$368,$B129,Estado!$G$9:$G$368)</f>
        <v>0</v>
      </c>
      <c r="H129" s="16">
        <f>SUMIF(Estado!$A$9:$A$368,$B129,Estado!$I$9:$I$368)</f>
        <v>0</v>
      </c>
      <c r="I129" s="16">
        <f>SUMIF(Estado!$A$9:$A$368,$B129,Estado!$K$9:$K$368)</f>
        <v>400654271.5</v>
      </c>
      <c r="J129" s="16">
        <f>SUM(G129:I129)</f>
        <v>400654271.5</v>
      </c>
      <c r="K129" s="16">
        <f>SUMIF(Estado!$A$9:$A$368,$B129,Estado!$O$9:$O$368)</f>
        <v>80845728.5</v>
      </c>
      <c r="L129" s="50">
        <f t="shared" si="11"/>
        <v>0.83209609865005196</v>
      </c>
      <c r="M129" s="50">
        <f t="shared" si="12"/>
        <v>0.16790390134994809</v>
      </c>
    </row>
    <row r="130" spans="1:13" s="24" customFormat="1" ht="16.5" x14ac:dyDescent="0.25">
      <c r="A130" s="110"/>
      <c r="B130" s="107" t="str">
        <f>+Estado!A168</f>
        <v>E-60103</v>
      </c>
      <c r="C130" s="105" t="str">
        <f>IFERROR(VLOOKUP(B130,Estado!$A$9:$B$505,2,FALSE),0)</f>
        <v>TRANSF.CTE I.D.NOE</v>
      </c>
      <c r="D130" s="16">
        <f>SUMIF(Estado!$A$9:$A$368,$B130,Estado!$C$9:$C$368)</f>
        <v>604641042</v>
      </c>
      <c r="E130" s="16">
        <f>SUMIF(Estado!$A$9:$A$368,$B130,Estado!$D$9:$D$368)</f>
        <v>604641042</v>
      </c>
      <c r="F130" s="16">
        <f>SUMIF(Estado!$A$9:$A$368,$B130,Estado!$E$9:$E$368)</f>
        <v>0</v>
      </c>
      <c r="G130" s="16">
        <f>SUMIF(Estado!$A$9:$A$368,$B130,Estado!$G$9:$G$368)</f>
        <v>0</v>
      </c>
      <c r="H130" s="16">
        <f>SUMIF(Estado!$A$9:$A$368,$B130,Estado!$I$9:$I$368)</f>
        <v>0</v>
      </c>
      <c r="I130" s="16">
        <f>SUMIF(Estado!$A$9:$A$368,$B130,Estado!$K$9:$K$368)</f>
        <v>591520091.25999999</v>
      </c>
      <c r="J130" s="16">
        <f t="shared" si="13"/>
        <v>591520091.25999999</v>
      </c>
      <c r="K130" s="16">
        <f>SUMIF(Estado!$A$9:$A$368,$B130,Estado!$O$9:$O$368)</f>
        <v>13120950.74</v>
      </c>
      <c r="L130" s="50">
        <f t="shared" si="11"/>
        <v>0.97829960285759099</v>
      </c>
      <c r="M130" s="50">
        <f t="shared" si="12"/>
        <v>2.1700397142409001E-2</v>
      </c>
    </row>
    <row r="131" spans="1:13" s="24" customFormat="1" ht="16.5" x14ac:dyDescent="0.25">
      <c r="A131" s="110"/>
      <c r="B131" s="107" t="str">
        <f>+Estado!A179</f>
        <v>E-602</v>
      </c>
      <c r="C131" s="105" t="str">
        <f>IFERROR(VLOOKUP(B131,Estado!$A$9:$B$505,2,FALSE),0)</f>
        <v>TRANSF CTES A PERS</v>
      </c>
      <c r="D131" s="16">
        <f>SUMIF(Estado!$A$9:$A$368,$B131,Estado!$C$9:$C$368)</f>
        <v>450000000</v>
      </c>
      <c r="E131" s="16">
        <f>SUMIF(Estado!$A$9:$A$368,$B131,Estado!$D$9:$D$368)</f>
        <v>450000000</v>
      </c>
      <c r="F131" s="16">
        <f>SUMIF(Estado!$A$9:$A$368,$B131,Estado!$E$9:$E$368)</f>
        <v>0</v>
      </c>
      <c r="G131" s="16">
        <f>SUMIF(Estado!$A$9:$A$368,$B131,Estado!$G$9:$G$368)</f>
        <v>32500000</v>
      </c>
      <c r="H131" s="16">
        <f>SUMIF(Estado!$A$9:$A$368,$B131,Estado!$I$9:$I$368)</f>
        <v>0</v>
      </c>
      <c r="I131" s="16">
        <f>SUMIF(Estado!$A$9:$A$368,$B131,Estado!$K$9:$K$368)</f>
        <v>417500000</v>
      </c>
      <c r="J131" s="16">
        <f t="shared" si="13"/>
        <v>450000000</v>
      </c>
      <c r="K131" s="16">
        <f>SUMIF(Estado!$A$9:$A$368,$B131,Estado!$O$9:$O$368)</f>
        <v>0</v>
      </c>
      <c r="L131" s="50">
        <f t="shared" si="11"/>
        <v>1</v>
      </c>
      <c r="M131" s="50">
        <f t="shared" si="12"/>
        <v>0</v>
      </c>
    </row>
    <row r="132" spans="1:13" s="24" customFormat="1" ht="16.5" x14ac:dyDescent="0.25">
      <c r="A132" s="110"/>
      <c r="B132" s="107" t="str">
        <f>+Estado!A180</f>
        <v>E-60299</v>
      </c>
      <c r="C132" s="105" t="str">
        <f>IFERROR(VLOOKUP(B132,Estado!$A$9:$B$505,2,FALSE),0)</f>
        <v>OTRAS TRANSF. A PERS</v>
      </c>
      <c r="D132" s="16">
        <f>SUMIF(Estado!$A$9:$A$368,$B132,Estado!$C$9:$C$368)</f>
        <v>450000000</v>
      </c>
      <c r="E132" s="16">
        <f>SUMIF(Estado!$A$9:$A$368,$B132,Estado!$D$9:$D$368)</f>
        <v>450000000</v>
      </c>
      <c r="F132" s="16">
        <f>SUMIF(Estado!$A$9:$A$368,$B132,Estado!$E$9:$E$368)</f>
        <v>0</v>
      </c>
      <c r="G132" s="16">
        <f>SUMIF(Estado!$A$9:$A$368,$B132,Estado!$G$9:$G$368)</f>
        <v>32500000</v>
      </c>
      <c r="H132" s="16">
        <f>SUMIF(Estado!$A$9:$A$368,$B132,Estado!$I$9:$I$368)</f>
        <v>0</v>
      </c>
      <c r="I132" s="16">
        <f>SUMIF(Estado!$A$9:$A$368,$B132,Estado!$K$9:$K$368)</f>
        <v>417500000</v>
      </c>
      <c r="J132" s="16">
        <f t="shared" si="13"/>
        <v>450000000</v>
      </c>
      <c r="K132" s="16">
        <f>SUMIF(Estado!$A$9:$A$368,$B132,Estado!$O$9:$O$368)</f>
        <v>0</v>
      </c>
      <c r="L132" s="50">
        <f t="shared" si="11"/>
        <v>1</v>
      </c>
      <c r="M132" s="50">
        <f t="shared" si="12"/>
        <v>0</v>
      </c>
    </row>
    <row r="133" spans="1:13" s="24" customFormat="1" ht="16.5" x14ac:dyDescent="0.25">
      <c r="A133" s="110"/>
      <c r="B133" s="107" t="str">
        <f>+Estado!A181</f>
        <v>E-603</v>
      </c>
      <c r="C133" s="105" t="str">
        <f>IFERROR(VLOOKUP(B133,Estado!$A$9:$B$505,2,FALSE),0)</f>
        <v>PRESTACIONES</v>
      </c>
      <c r="D133" s="16">
        <f>SUMIF(Estado!$A$9:$A$368,$B133,Estado!$C$9:$C$368)</f>
        <v>1941897614</v>
      </c>
      <c r="E133" s="16">
        <f>SUMIF(Estado!$A$9:$A$368,$B133,Estado!$D$9:$D$368)</f>
        <v>1941897614</v>
      </c>
      <c r="F133" s="16">
        <f>SUMIF(Estado!$A$9:$A$368,$B133,Estado!$E$9:$E$368)</f>
        <v>0</v>
      </c>
      <c r="G133" s="16">
        <f>SUMIF(Estado!$A$9:$A$368,$B133,Estado!$G$9:$G$368)</f>
        <v>2294107.35</v>
      </c>
      <c r="H133" s="16">
        <f>SUMIF(Estado!$A$9:$A$368,$B133,Estado!$I$9:$I$368)</f>
        <v>0</v>
      </c>
      <c r="I133" s="16">
        <f>SUMIF(Estado!$A$9:$A$368,$B133,Estado!$K$9:$K$368)</f>
        <v>1908777761.8299999</v>
      </c>
      <c r="J133" s="16">
        <f t="shared" si="13"/>
        <v>1911071869.1799998</v>
      </c>
      <c r="K133" s="16">
        <f>SUMIF(Estado!$A$9:$A$368,$B133,Estado!$O$9:$O$368)</f>
        <v>30825744.82</v>
      </c>
      <c r="L133" s="50">
        <f t="shared" ref="L133:L143" si="26">+IFERROR(SUM(G133:I133)/D133,0)</f>
        <v>0.98412596802335828</v>
      </c>
      <c r="M133" s="50">
        <f t="shared" ref="M133:M143" si="27">+IFERROR(+K133/D133,0)</f>
        <v>1.5874031976641587E-2</v>
      </c>
    </row>
    <row r="134" spans="1:13" s="24" customFormat="1" ht="16.5" x14ac:dyDescent="0.25">
      <c r="A134" s="110"/>
      <c r="B134" s="107" t="str">
        <f>+Estado!A182</f>
        <v>E-60301</v>
      </c>
      <c r="C134" s="105" t="str">
        <f>IFERROR(VLOOKUP(B134,Estado!$A$9:$B$505,2,FALSE),0)</f>
        <v>PRESTACIONES LEGALES</v>
      </c>
      <c r="D134" s="16">
        <f>SUMIF(Estado!$A$9:$A$368,$B134,Estado!$C$9:$C$368)</f>
        <v>1491104314</v>
      </c>
      <c r="E134" s="16">
        <f>SUMIF(Estado!$A$9:$A$368,$B134,Estado!$D$9:$D$368)</f>
        <v>1491104314</v>
      </c>
      <c r="F134" s="16">
        <f>SUMIF(Estado!$A$9:$A$368,$B134,Estado!$E$9:$E$368)</f>
        <v>0</v>
      </c>
      <c r="G134" s="16">
        <f>SUMIF(Estado!$A$9:$A$368,$B134,Estado!$G$9:$G$368)</f>
        <v>2294107.35</v>
      </c>
      <c r="H134" s="16">
        <f>SUMIF(Estado!$A$9:$A$368,$B134,Estado!$I$9:$I$368)</f>
        <v>0</v>
      </c>
      <c r="I134" s="16">
        <f>SUMIF(Estado!$A$9:$A$368,$B134,Estado!$K$9:$K$368)</f>
        <v>1485711404.4099998</v>
      </c>
      <c r="J134" s="16">
        <f t="shared" ref="J134:J143" si="28">SUM(G134:I134)</f>
        <v>1488005511.7599998</v>
      </c>
      <c r="K134" s="16">
        <f>SUMIF(Estado!$A$9:$A$368,$B134,Estado!$O$9:$O$368)</f>
        <v>3098802.2399999998</v>
      </c>
      <c r="L134" s="50">
        <f t="shared" si="26"/>
        <v>0.99792180720630641</v>
      </c>
      <c r="M134" s="50">
        <f t="shared" si="27"/>
        <v>2.0781927936934395E-3</v>
      </c>
    </row>
    <row r="135" spans="1:13" s="24" customFormat="1" ht="16.5" x14ac:dyDescent="0.25">
      <c r="A135" s="110"/>
      <c r="B135" s="107" t="str">
        <f>+Estado!A183</f>
        <v>E-60399</v>
      </c>
      <c r="C135" s="105" t="str">
        <f>IFERROR(VLOOKUP(B135,Estado!$A$9:$B$505,2,FALSE),0)</f>
        <v>OTRAS PRESTACIONES</v>
      </c>
      <c r="D135" s="16">
        <f>SUMIF(Estado!$A$9:$A$368,$B135,Estado!$C$9:$C$368)</f>
        <v>450793300</v>
      </c>
      <c r="E135" s="16">
        <f>SUMIF(Estado!$A$9:$A$368,$B135,Estado!$D$9:$D$368)</f>
        <v>450793300</v>
      </c>
      <c r="F135" s="16">
        <f>SUMIF(Estado!$A$9:$A$368,$B135,Estado!$E$9:$E$368)</f>
        <v>0</v>
      </c>
      <c r="G135" s="16">
        <f>SUMIF(Estado!$A$9:$A$368,$B135,Estado!$G$9:$G$368)</f>
        <v>0</v>
      </c>
      <c r="H135" s="16">
        <f>SUMIF(Estado!$A$9:$A$368,$B135,Estado!$I$9:$I$368)</f>
        <v>0</v>
      </c>
      <c r="I135" s="16">
        <f>SUMIF(Estado!$A$9:$A$368,$B135,Estado!$K$9:$K$368)</f>
        <v>423066357.41999996</v>
      </c>
      <c r="J135" s="16">
        <f t="shared" si="28"/>
        <v>423066357.41999996</v>
      </c>
      <c r="K135" s="16">
        <f>SUMIF(Estado!$A$9:$A$368,$B135,Estado!$O$9:$O$368)</f>
        <v>27726942.579999998</v>
      </c>
      <c r="L135" s="50">
        <f t="shared" si="26"/>
        <v>0.93849300204772335</v>
      </c>
      <c r="M135" s="50">
        <f t="shared" si="27"/>
        <v>6.1506997952276571E-2</v>
      </c>
    </row>
    <row r="136" spans="1:13" s="24" customFormat="1" ht="16.5" x14ac:dyDescent="0.25">
      <c r="A136" s="110"/>
      <c r="B136" s="107" t="str">
        <f>+Estado!A184</f>
        <v>E-606</v>
      </c>
      <c r="C136" s="105" t="str">
        <f>IFERROR(VLOOKUP(B136,Estado!$A$9:$B$505,2,FALSE),0)</f>
        <v>OTR.TRANSF.CTE SPRIV</v>
      </c>
      <c r="D136" s="16">
        <f>SUMIF(Estado!$A$9:$A$368,$B136,Estado!$C$9:$C$368)</f>
        <v>267861521.16999999</v>
      </c>
      <c r="E136" s="16">
        <f>SUMIF(Estado!$A$9:$A$368,$B136,Estado!$D$9:$D$368)</f>
        <v>267861521.16999999</v>
      </c>
      <c r="F136" s="16">
        <f>SUMIF(Estado!$A$9:$A$368,$B136,Estado!$E$9:$E$368)</f>
        <v>0</v>
      </c>
      <c r="G136" s="16">
        <f>SUMIF(Estado!$A$9:$A$368,$B136,Estado!$G$9:$G$368)</f>
        <v>43078687.030000001</v>
      </c>
      <c r="H136" s="16">
        <f>SUMIF(Estado!$A$9:$A$368,$B136,Estado!$I$9:$I$368)</f>
        <v>0</v>
      </c>
      <c r="I136" s="16">
        <f>SUMIF(Estado!$A$9:$A$368,$B136,Estado!$K$9:$K$368)</f>
        <v>80796038.329999998</v>
      </c>
      <c r="J136" s="16">
        <f t="shared" si="28"/>
        <v>123874725.36</v>
      </c>
      <c r="K136" s="16">
        <f>SUMIF(Estado!$A$9:$A$368,$B136,Estado!$O$9:$O$368)</f>
        <v>143986795.81</v>
      </c>
      <c r="L136" s="50">
        <f t="shared" si="26"/>
        <v>0.46245808214231016</v>
      </c>
      <c r="M136" s="50">
        <f t="shared" si="27"/>
        <v>0.5375419178576899</v>
      </c>
    </row>
    <row r="137" spans="1:13" s="24" customFormat="1" ht="16.5" x14ac:dyDescent="0.25">
      <c r="A137" s="110"/>
      <c r="B137" s="107" t="str">
        <f>+Estado!A185</f>
        <v>E-60601</v>
      </c>
      <c r="C137" s="105" t="str">
        <f>IFERROR(VLOOKUP(B137,Estado!$A$9:$B$505,2,FALSE),0)</f>
        <v>INDEMNIZACIONES</v>
      </c>
      <c r="D137" s="16">
        <f>SUMIF(Estado!$A$9:$A$368,$B137,Estado!$C$9:$C$368)</f>
        <v>195269917.71000001</v>
      </c>
      <c r="E137" s="16">
        <f>SUMIF(Estado!$A$9:$A$368,$B137,Estado!$D$9:$D$368)</f>
        <v>195269917.71000001</v>
      </c>
      <c r="F137" s="16">
        <f>SUMIF(Estado!$A$9:$A$368,$B137,Estado!$E$9:$E$368)</f>
        <v>0</v>
      </c>
      <c r="G137" s="16">
        <f>SUMIF(Estado!$A$9:$A$368,$B137,Estado!$G$9:$G$368)</f>
        <v>29897166.530000001</v>
      </c>
      <c r="H137" s="16">
        <f>SUMIF(Estado!$A$9:$A$368,$B137,Estado!$I$9:$I$368)</f>
        <v>0</v>
      </c>
      <c r="I137" s="16">
        <f>SUMIF(Estado!$A$9:$A$368,$B137,Estado!$K$9:$K$368)</f>
        <v>30932969.48</v>
      </c>
      <c r="J137" s="16">
        <f t="shared" si="28"/>
        <v>60830136.010000005</v>
      </c>
      <c r="K137" s="16">
        <f>SUMIF(Estado!$A$9:$A$368,$B137,Estado!$O$9:$O$368)</f>
        <v>134439781.69999999</v>
      </c>
      <c r="L137" s="50">
        <f t="shared" si="26"/>
        <v>0.31151821398491236</v>
      </c>
      <c r="M137" s="50">
        <f t="shared" si="27"/>
        <v>0.68848178601508758</v>
      </c>
    </row>
    <row r="138" spans="1:13" s="24" customFormat="1" ht="16.5" x14ac:dyDescent="0.25">
      <c r="A138" s="110"/>
      <c r="B138" s="107" t="str">
        <f>+Estado!A186</f>
        <v>E-60602</v>
      </c>
      <c r="C138" s="105" t="str">
        <f>IFERROR(VLOOKUP(B138,Estado!$A$9:$B$505,2,FALSE),0)</f>
        <v>REINTEGROS O DEVOL.</v>
      </c>
      <c r="D138" s="16">
        <f>SUMIF(Estado!$A$9:$A$368,$B138,Estado!$C$9:$C$368)</f>
        <v>72591603.460000008</v>
      </c>
      <c r="E138" s="16">
        <f>SUMIF(Estado!$A$9:$A$368,$B138,Estado!$D$9:$D$368)</f>
        <v>72591603.460000008</v>
      </c>
      <c r="F138" s="16">
        <f>SUMIF(Estado!$A$9:$A$368,$B138,Estado!$E$9:$E$368)</f>
        <v>0</v>
      </c>
      <c r="G138" s="16">
        <f>SUMIF(Estado!$A$9:$A$368,$B138,Estado!$G$9:$G$368)</f>
        <v>13181520.5</v>
      </c>
      <c r="H138" s="16">
        <f>SUMIF(Estado!$A$9:$A$368,$B138,Estado!$I$9:$I$368)</f>
        <v>0</v>
      </c>
      <c r="I138" s="16">
        <f>SUMIF(Estado!$A$9:$A$368,$B138,Estado!$K$9:$K$368)</f>
        <v>49863068.850000001</v>
      </c>
      <c r="J138" s="16">
        <f t="shared" si="28"/>
        <v>63044589.350000001</v>
      </c>
      <c r="K138" s="16">
        <f>SUMIF(Estado!$A$9:$A$368,$B138,Estado!$O$9:$O$368)</f>
        <v>9547014.1099999994</v>
      </c>
      <c r="L138" s="50">
        <f t="shared" si="26"/>
        <v>0.86848321768700598</v>
      </c>
      <c r="M138" s="50">
        <f t="shared" si="27"/>
        <v>0.13151678231299394</v>
      </c>
    </row>
    <row r="139" spans="1:13" s="24" customFormat="1" ht="16.5" x14ac:dyDescent="0.25">
      <c r="A139" s="110"/>
      <c r="B139" s="107" t="str">
        <f>+Estado!A187</f>
        <v>E-607</v>
      </c>
      <c r="C139" s="105" t="str">
        <f>IFERROR(VLOOKUP(B139,Estado!$A$9:$B$505,2,FALSE),0)</f>
        <v>TRANSF CTES AL S.EXT</v>
      </c>
      <c r="D139" s="16">
        <f>SUMIF(Estado!$A$9:$A$368,$B139,Estado!$C$9:$C$368)</f>
        <v>407413000</v>
      </c>
      <c r="E139" s="16">
        <f>SUMIF(Estado!$A$9:$A$368,$B139,Estado!$D$9:$D$368)</f>
        <v>407413000</v>
      </c>
      <c r="F139" s="16">
        <f>SUMIF(Estado!$A$9:$A$368,$B139,Estado!$E$9:$E$368)</f>
        <v>0</v>
      </c>
      <c r="G139" s="16">
        <f>SUMIF(Estado!$A$9:$A$368,$B139,Estado!$G$9:$G$368)</f>
        <v>0</v>
      </c>
      <c r="H139" s="16">
        <f>SUMIF(Estado!$A$9:$A$368,$B139,Estado!$I$9:$I$368)</f>
        <v>0</v>
      </c>
      <c r="I139" s="16">
        <f>SUMIF(Estado!$A$9:$A$368,$B139,Estado!$K$9:$K$368)</f>
        <v>405253936.58999997</v>
      </c>
      <c r="J139" s="16">
        <f t="shared" si="28"/>
        <v>405253936.58999997</v>
      </c>
      <c r="K139" s="16">
        <f>SUMIF(Estado!$A$9:$A$368,$B139,Estado!$O$9:$O$368)</f>
        <v>2159063.41</v>
      </c>
      <c r="L139" s="50">
        <f t="shared" si="26"/>
        <v>0.99470055346785691</v>
      </c>
      <c r="M139" s="50">
        <f t="shared" si="27"/>
        <v>5.299446532143059E-3</v>
      </c>
    </row>
    <row r="140" spans="1:13" s="24" customFormat="1" ht="16.5" x14ac:dyDescent="0.25">
      <c r="A140" s="110"/>
      <c r="B140" s="107" t="str">
        <f>+Estado!A188</f>
        <v>E-60701</v>
      </c>
      <c r="C140" s="105" t="str">
        <f>IFERROR(VLOOKUP(B140,Estado!$A$9:$B$505,2,FALSE),0)</f>
        <v>TRANSF.C.TE ORG.INT.</v>
      </c>
      <c r="D140" s="16">
        <f>SUMIF(Estado!$A$9:$A$368,$B140,Estado!$C$9:$C$368)</f>
        <v>407413000</v>
      </c>
      <c r="E140" s="16">
        <f>SUMIF(Estado!$A$9:$A$368,$B140,Estado!$D$9:$D$368)</f>
        <v>407413000</v>
      </c>
      <c r="F140" s="16">
        <f>SUMIF(Estado!$A$9:$A$368,$B140,Estado!$E$9:$E$368)</f>
        <v>0</v>
      </c>
      <c r="G140" s="16">
        <f>SUMIF(Estado!$A$9:$A$368,$B140,Estado!$G$9:$G$368)</f>
        <v>0</v>
      </c>
      <c r="H140" s="16">
        <f>SUMIF(Estado!$A$9:$A$368,$B140,Estado!$I$9:$I$368)</f>
        <v>0</v>
      </c>
      <c r="I140" s="16">
        <f>SUMIF(Estado!$A$9:$A$368,$B140,Estado!$K$9:$K$368)</f>
        <v>405253936.59000003</v>
      </c>
      <c r="J140" s="16">
        <f t="shared" si="28"/>
        <v>405253936.59000003</v>
      </c>
      <c r="K140" s="16">
        <f>SUMIF(Estado!$A$9:$A$368,$B140,Estado!$O$9:$O$368)</f>
        <v>2159063.41</v>
      </c>
      <c r="L140" s="50">
        <f t="shared" si="26"/>
        <v>0.99470055346785702</v>
      </c>
      <c r="M140" s="50">
        <f t="shared" si="27"/>
        <v>5.299446532143059E-3</v>
      </c>
    </row>
    <row r="141" spans="1:13" s="23" customFormat="1" ht="17.25" x14ac:dyDescent="0.25">
      <c r="A141" s="108"/>
      <c r="B141" s="109" t="str">
        <f>+Estado!A192</f>
        <v>E-7</v>
      </c>
      <c r="C141" s="106" t="str">
        <f>IFERROR(VLOOKUP(B141,Estado!$A$9:$B$505,2,FALSE),0)</f>
        <v>TRANSF. DE CAPITAL</v>
      </c>
      <c r="D141" s="22">
        <f>SUM(D142)</f>
        <v>4742400000</v>
      </c>
      <c r="E141" s="22">
        <f t="shared" ref="E141:K141" si="29">SUM(E142)</f>
        <v>4742400000</v>
      </c>
      <c r="F141" s="22">
        <f t="shared" si="29"/>
        <v>0</v>
      </c>
      <c r="G141" s="22">
        <f t="shared" si="29"/>
        <v>0</v>
      </c>
      <c r="H141" s="22">
        <f t="shared" si="29"/>
        <v>0</v>
      </c>
      <c r="I141" s="22">
        <f t="shared" si="29"/>
        <v>4742400000</v>
      </c>
      <c r="J141" s="22">
        <f t="shared" si="29"/>
        <v>4742400000</v>
      </c>
      <c r="K141" s="22">
        <f t="shared" si="29"/>
        <v>0</v>
      </c>
      <c r="L141" s="67">
        <f t="shared" si="26"/>
        <v>1</v>
      </c>
      <c r="M141" s="67">
        <f t="shared" si="27"/>
        <v>0</v>
      </c>
    </row>
    <row r="142" spans="1:13" s="24" customFormat="1" ht="16.5" x14ac:dyDescent="0.25">
      <c r="A142" s="110"/>
      <c r="B142" s="107" t="str">
        <f>+Estado!A193</f>
        <v>E-701</v>
      </c>
      <c r="C142" s="105" t="str">
        <f>IFERROR(VLOOKUP(B142,Estado!$A$9:$B$505,2,FALSE),0)</f>
        <v>TRANSF DE CTAL S PUB</v>
      </c>
      <c r="D142" s="16">
        <f>SUMIF(Estado!$A$9:$A$368,$B142,Estado!$C$9:$C$368)</f>
        <v>4742400000</v>
      </c>
      <c r="E142" s="16">
        <f>SUMIF(Estado!$A$9:$A$368,$B142,Estado!$D$9:$D$368)</f>
        <v>4742400000</v>
      </c>
      <c r="F142" s="16">
        <f>SUMIF(Estado!$A$9:$A$368,$B142,Estado!$E$9:$E$368)</f>
        <v>0</v>
      </c>
      <c r="G142" s="16">
        <f>SUMIF(Estado!$A$9:$A$368,$B142,Estado!$G$9:$G$368)</f>
        <v>0</v>
      </c>
      <c r="H142" s="16">
        <f>SUMIF(Estado!$A$9:$A$368,$B142,Estado!$I$9:$I$368)</f>
        <v>0</v>
      </c>
      <c r="I142" s="16">
        <f>SUMIF(Estado!$A$9:$A$368,$B142,Estado!$K$9:$K$368)</f>
        <v>4742400000</v>
      </c>
      <c r="J142" s="16">
        <f t="shared" si="28"/>
        <v>4742400000</v>
      </c>
      <c r="K142" s="16">
        <f>SUMIF(Estado!$A$9:$A$368,$B142,Estado!$O$9:$O$368)</f>
        <v>0</v>
      </c>
      <c r="L142" s="50">
        <f t="shared" si="26"/>
        <v>1</v>
      </c>
      <c r="M142" s="50">
        <f t="shared" si="27"/>
        <v>0</v>
      </c>
    </row>
    <row r="143" spans="1:13" s="24" customFormat="1" ht="16.5" x14ac:dyDescent="0.25">
      <c r="A143" s="110"/>
      <c r="B143" s="107" t="str">
        <f>+Estado!A194</f>
        <v>E-70102</v>
      </c>
      <c r="C143" s="105" t="str">
        <f>IFERROR(VLOOKUP(B143,Estado!$A$9:$B$505,2,FALSE),0)</f>
        <v>TRANSF.CTAL ORG.DESC</v>
      </c>
      <c r="D143" s="16">
        <f>SUMIF(Estado!$A$9:$A$368,$B143,Estado!$C$9:$C$368)</f>
        <v>4742400000</v>
      </c>
      <c r="E143" s="16">
        <f>SUMIF(Estado!$A$9:$A$368,$B143,Estado!$D$9:$D$368)</f>
        <v>4742400000</v>
      </c>
      <c r="F143" s="16">
        <f>SUMIF(Estado!$A$9:$A$368,$B143,Estado!$E$9:$E$368)</f>
        <v>0</v>
      </c>
      <c r="G143" s="16">
        <f>SUMIF(Estado!$A$9:$A$368,$B143,Estado!$G$9:$G$368)</f>
        <v>0</v>
      </c>
      <c r="H143" s="16">
        <f>SUMIF(Estado!$A$9:$A$368,$B143,Estado!$I$9:$I$368)</f>
        <v>0</v>
      </c>
      <c r="I143" s="16">
        <f>SUMIF(Estado!$A$9:$A$368,$B143,Estado!$K$9:$K$368)</f>
        <v>4742400000</v>
      </c>
      <c r="J143" s="16">
        <f t="shared" si="28"/>
        <v>4742400000</v>
      </c>
      <c r="K143" s="16">
        <f>SUMIF(Estado!$A$9:$A$368,$B143,Estado!$O$9:$O$368)</f>
        <v>0</v>
      </c>
      <c r="L143" s="50">
        <f t="shared" si="26"/>
        <v>1</v>
      </c>
      <c r="M143" s="50">
        <f t="shared" si="27"/>
        <v>0</v>
      </c>
    </row>
    <row r="144" spans="1:13" s="23" customFormat="1" ht="17.25" x14ac:dyDescent="0.25">
      <c r="A144" s="108"/>
      <c r="B144" s="109" t="s">
        <v>589</v>
      </c>
      <c r="C144" s="106" t="s">
        <v>590</v>
      </c>
      <c r="D144" s="22">
        <f>SUM(D145)</f>
        <v>173212000</v>
      </c>
      <c r="E144" s="22">
        <f t="shared" ref="E144:K144" si="30">SUM(E145)</f>
        <v>173212000</v>
      </c>
      <c r="F144" s="22">
        <f t="shared" si="30"/>
        <v>0</v>
      </c>
      <c r="G144" s="22">
        <f t="shared" si="30"/>
        <v>0</v>
      </c>
      <c r="H144" s="22">
        <f t="shared" si="30"/>
        <v>0</v>
      </c>
      <c r="I144" s="22">
        <f t="shared" si="30"/>
        <v>0</v>
      </c>
      <c r="J144" s="22">
        <f t="shared" si="30"/>
        <v>0</v>
      </c>
      <c r="K144" s="22">
        <f t="shared" si="30"/>
        <v>173212000</v>
      </c>
      <c r="L144" s="50">
        <f t="shared" ref="L144" si="31">+IFERROR(SUM(G144:I144)/D144,0)</f>
        <v>0</v>
      </c>
      <c r="M144" s="50">
        <f t="shared" ref="M144" si="32">+IFERROR(+K144/D144,0)</f>
        <v>1</v>
      </c>
    </row>
    <row r="145" spans="1:13" s="24" customFormat="1" ht="25.5" x14ac:dyDescent="0.25">
      <c r="A145" s="110"/>
      <c r="B145" s="107" t="s">
        <v>587</v>
      </c>
      <c r="C145" s="105" t="s">
        <v>588</v>
      </c>
      <c r="D145" s="16">
        <f>+D146</f>
        <v>173212000</v>
      </c>
      <c r="E145" s="16">
        <f t="shared" ref="E145:K145" si="33">+E146</f>
        <v>173212000</v>
      </c>
      <c r="F145" s="16">
        <f t="shared" si="33"/>
        <v>0</v>
      </c>
      <c r="G145" s="16">
        <f t="shared" si="33"/>
        <v>0</v>
      </c>
      <c r="H145" s="16">
        <f t="shared" si="33"/>
        <v>0</v>
      </c>
      <c r="I145" s="16">
        <f t="shared" si="33"/>
        <v>0</v>
      </c>
      <c r="J145" s="16">
        <f t="shared" si="33"/>
        <v>0</v>
      </c>
      <c r="K145" s="16">
        <f t="shared" si="33"/>
        <v>173212000</v>
      </c>
      <c r="L145" s="50">
        <f t="shared" ref="L145" si="34">+IFERROR(SUM(G145:I145)/D145,0)</f>
        <v>0</v>
      </c>
      <c r="M145" s="50">
        <f t="shared" ref="M145" si="35">+IFERROR(+K145/D145,0)</f>
        <v>1</v>
      </c>
    </row>
    <row r="146" spans="1:13" s="24" customFormat="1" ht="25.5" x14ac:dyDescent="0.25">
      <c r="A146" s="110"/>
      <c r="B146" s="107" t="s">
        <v>585</v>
      </c>
      <c r="C146" s="105" t="s">
        <v>586</v>
      </c>
      <c r="D146" s="16">
        <f>SUMIF(Estado!$A$9:$A$368,$B146,Estado!$C$9:$C$368)</f>
        <v>173212000</v>
      </c>
      <c r="E146" s="16">
        <f>SUMIF(Estado!$A$9:$A$368,$B146,Estado!$D$9:$D$368)</f>
        <v>173212000</v>
      </c>
      <c r="F146" s="16">
        <f>SUMIF(Estado!$A$9:$A$368,$B146,Estado!$E$9:$E$368)</f>
        <v>0</v>
      </c>
      <c r="G146" s="16">
        <f>SUMIF(Estado!$A$9:$A$368,$B146,Estado!$G$9:$G$368)</f>
        <v>0</v>
      </c>
      <c r="H146" s="16">
        <f>SUMIF(Estado!$A$9:$A$368,$B146,Estado!$I$9:$I$368)</f>
        <v>0</v>
      </c>
      <c r="I146" s="16">
        <f>SUMIF(Estado!$A$9:$A$368,$B146,Estado!$K$9:$K$368)</f>
        <v>0</v>
      </c>
      <c r="J146" s="16">
        <f t="shared" ref="J146" si="36">SUM(G146:I146)</f>
        <v>0</v>
      </c>
      <c r="K146" s="16">
        <f>SUMIF(Estado!$A$9:$A$368,$B146,Estado!$O$9:$O$368)</f>
        <v>173212000</v>
      </c>
      <c r="L146" s="50">
        <f t="shared" ref="L146" si="37">+IFERROR(SUM(G146:I146)/D146,0)</f>
        <v>0</v>
      </c>
      <c r="M146" s="50">
        <f t="shared" ref="M146" si="38">+IFERROR(+K146/D146,0)</f>
        <v>1</v>
      </c>
    </row>
    <row r="147" spans="1:13" ht="18" thickBot="1" x14ac:dyDescent="0.3">
      <c r="A147" s="111"/>
      <c r="B147" s="112"/>
      <c r="C147" s="9" t="s">
        <v>15</v>
      </c>
      <c r="D147" s="15">
        <f>+D3+D28+D82+D112+D127+D141+D144</f>
        <v>134302218983</v>
      </c>
      <c r="E147" s="15">
        <f>+E3+E28+E82+E112+E127+E141+E144</f>
        <v>134296244482</v>
      </c>
      <c r="F147" s="15">
        <f>+F3+F28+F82+F112+F127+F141+F144</f>
        <v>0</v>
      </c>
      <c r="G147" s="15">
        <f>+G3+G28+G82+G112+G127+G141+G144</f>
        <v>3940029257.7200003</v>
      </c>
      <c r="H147" s="15">
        <f>+H3+H28+H82+H112+H127+H141</f>
        <v>0</v>
      </c>
      <c r="I147" s="15">
        <f>+I3+I28+I82+I112+I127+I141+I144</f>
        <v>123842516565.67</v>
      </c>
      <c r="J147" s="15">
        <f>+J3+J28+J82+J112+J127+J141+J144</f>
        <v>127782545823.39</v>
      </c>
      <c r="K147" s="15">
        <f>+K3+K28+K82+K112+K127+K141+K144</f>
        <v>6519673159.6099997</v>
      </c>
      <c r="L147" s="68">
        <f t="shared" ref="L147" si="39">SUM(G147:I147)/D147</f>
        <v>0.95145520893861579</v>
      </c>
      <c r="M147" s="68">
        <f t="shared" ref="M147" si="40">+K147/D147</f>
        <v>4.8544791061384186E-2</v>
      </c>
    </row>
    <row r="148" spans="1:13" x14ac:dyDescent="0.25">
      <c r="A148" s="111"/>
      <c r="B148" s="111"/>
      <c r="D148" s="34">
        <f>+D147-Estado!C10</f>
        <v>0</v>
      </c>
      <c r="E148" s="34">
        <f>+E147-Estado!D10</f>
        <v>0</v>
      </c>
      <c r="F148" s="34">
        <f>+F147-Estado!E10</f>
        <v>0</v>
      </c>
      <c r="G148" s="34">
        <f>+G147-Estado!G10</f>
        <v>0</v>
      </c>
      <c r="H148" s="34"/>
      <c r="I148" s="34">
        <f>+I147-Estado!K10</f>
        <v>0</v>
      </c>
      <c r="J148" s="34"/>
      <c r="K148" s="34">
        <f>+K147-Estado!O10</f>
        <v>0</v>
      </c>
      <c r="L148" s="34"/>
    </row>
  </sheetData>
  <mergeCells count="9">
    <mergeCell ref="L1:L2"/>
    <mergeCell ref="M1:M2"/>
    <mergeCell ref="C1:C2"/>
    <mergeCell ref="D1:D2"/>
    <mergeCell ref="E1:E2"/>
    <mergeCell ref="F1:F2"/>
    <mergeCell ref="G1:I1"/>
    <mergeCell ref="K1:K2"/>
    <mergeCell ref="J1:J2"/>
  </mergeCells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A109" zoomScale="86" zoomScaleNormal="86" workbookViewId="0">
      <selection activeCell="E116" activeCellId="2" sqref="E32 E86 E116"/>
    </sheetView>
  </sheetViews>
  <sheetFormatPr baseColWidth="10" defaultRowHeight="15" x14ac:dyDescent="0.25"/>
  <cols>
    <col min="1" max="1" width="8.5703125" style="24" bestFit="1" customWidth="1"/>
    <col min="2" max="2" width="45.7109375" style="24" bestFit="1" customWidth="1"/>
    <col min="3" max="4" width="20.28515625" style="24" bestFit="1" customWidth="1"/>
    <col min="5" max="5" width="19.7109375" style="24" bestFit="1" customWidth="1"/>
    <col min="6" max="6" width="20.28515625" style="24" bestFit="1" customWidth="1"/>
    <col min="7" max="7" width="20.7109375" style="89" customWidth="1"/>
    <col min="8" max="8" width="12.85546875" style="24" customWidth="1"/>
    <col min="9" max="9" width="14.28515625" style="24" customWidth="1"/>
    <col min="10" max="10" width="17.140625" style="25" bestFit="1" customWidth="1"/>
    <col min="11" max="11" width="15.140625" style="25" bestFit="1" customWidth="1"/>
    <col min="12" max="16384" width="11.42578125" style="24"/>
  </cols>
  <sheetData>
    <row r="1" spans="1:11" ht="15.75" x14ac:dyDescent="0.25">
      <c r="A1" s="170" t="s">
        <v>57</v>
      </c>
      <c r="B1" s="171"/>
      <c r="C1" s="171"/>
      <c r="D1" s="171"/>
      <c r="E1" s="171"/>
      <c r="F1" s="171"/>
      <c r="G1" s="171"/>
      <c r="H1" s="171"/>
      <c r="I1" s="171"/>
    </row>
    <row r="2" spans="1:11" ht="15.75" x14ac:dyDescent="0.25">
      <c r="A2" s="170" t="str">
        <f>+Estado!A4</f>
        <v xml:space="preserve">AL 31 DE DICIEMBRE 2018        </v>
      </c>
      <c r="B2" s="171"/>
      <c r="C2" s="171"/>
      <c r="D2" s="171"/>
      <c r="E2" s="171"/>
      <c r="F2" s="171"/>
      <c r="G2" s="171"/>
      <c r="H2" s="171"/>
      <c r="I2" s="171"/>
    </row>
    <row r="3" spans="1:11" ht="15.75" x14ac:dyDescent="0.25">
      <c r="A3" s="170" t="s">
        <v>55</v>
      </c>
      <c r="B3" s="171"/>
      <c r="C3" s="171"/>
      <c r="D3" s="171"/>
      <c r="E3" s="171"/>
      <c r="F3" s="171"/>
      <c r="G3" s="171"/>
      <c r="H3" s="171"/>
      <c r="I3" s="171"/>
    </row>
    <row r="4" spans="1:11" ht="15.75" thickBot="1" x14ac:dyDescent="0.3"/>
    <row r="5" spans="1:11" x14ac:dyDescent="0.25">
      <c r="A5" s="200" t="s">
        <v>0</v>
      </c>
      <c r="B5" s="204" t="s">
        <v>548</v>
      </c>
      <c r="C5" s="191" t="s">
        <v>549</v>
      </c>
      <c r="D5" s="191" t="s">
        <v>2</v>
      </c>
      <c r="E5" s="191" t="s">
        <v>3</v>
      </c>
      <c r="F5" s="69" t="s">
        <v>4</v>
      </c>
      <c r="G5" s="202" t="s">
        <v>6</v>
      </c>
      <c r="H5" s="191" t="s">
        <v>7</v>
      </c>
      <c r="I5" s="198" t="s">
        <v>8</v>
      </c>
    </row>
    <row r="6" spans="1:11" x14ac:dyDescent="0.25">
      <c r="A6" s="201"/>
      <c r="B6" s="205"/>
      <c r="C6" s="192"/>
      <c r="D6" s="192"/>
      <c r="E6" s="192"/>
      <c r="F6" s="70" t="s">
        <v>5</v>
      </c>
      <c r="G6" s="203"/>
      <c r="H6" s="192"/>
      <c r="I6" s="199"/>
    </row>
    <row r="7" spans="1:11" s="23" customFormat="1" x14ac:dyDescent="0.25">
      <c r="A7" s="148" t="str">
        <f>+Hoja4!B3</f>
        <v>E-0</v>
      </c>
      <c r="B7" s="149" t="str">
        <f>+Hoja4!C3</f>
        <v>REMUNERACIONES</v>
      </c>
      <c r="C7" s="150">
        <f>+C8+C12+C16+C22+C25+C30</f>
        <v>89646093488</v>
      </c>
      <c r="D7" s="150">
        <f t="shared" ref="D7:G7" si="0">+D8+D12+D16+D22+D25+D30</f>
        <v>89640118987</v>
      </c>
      <c r="E7" s="150">
        <f t="shared" si="0"/>
        <v>0</v>
      </c>
      <c r="F7" s="150">
        <f t="shared" si="0"/>
        <v>85726976935.610001</v>
      </c>
      <c r="G7" s="150">
        <f t="shared" si="0"/>
        <v>3919116552.3899999</v>
      </c>
      <c r="H7" s="151">
        <f>+IFERROR(Hoja4!L3,0)</f>
        <v>0.95628234985036342</v>
      </c>
      <c r="I7" s="151">
        <f>+IFERROR(Hoja4!M3,0)</f>
        <v>4.3717650149636599E-2</v>
      </c>
      <c r="J7" s="128">
        <f>+F7-Hoja4!J3</f>
        <v>0</v>
      </c>
      <c r="K7" s="128">
        <f>+C7-Estado!C11</f>
        <v>0</v>
      </c>
    </row>
    <row r="8" spans="1:11" x14ac:dyDescent="0.25">
      <c r="A8" s="71" t="str">
        <f>+Hoja4!B4</f>
        <v>E-001</v>
      </c>
      <c r="B8" s="102" t="str">
        <f>+Hoja4!C4</f>
        <v>REMUNERACIONES BASIC</v>
      </c>
      <c r="C8" s="72">
        <f>SUM(C9:C11)</f>
        <v>32281521474</v>
      </c>
      <c r="D8" s="72">
        <f t="shared" ref="D8:G8" si="1">SUM(D9:D11)</f>
        <v>32275546973</v>
      </c>
      <c r="E8" s="72">
        <f t="shared" si="1"/>
        <v>0</v>
      </c>
      <c r="F8" s="72">
        <f t="shared" si="1"/>
        <v>30423507179.060001</v>
      </c>
      <c r="G8" s="72">
        <f t="shared" si="1"/>
        <v>1858014294.9400001</v>
      </c>
      <c r="H8" s="143">
        <f>+IFERROR(Hoja4!L4,0)</f>
        <v>0.94244341003454657</v>
      </c>
      <c r="I8" s="143">
        <f>+IFERROR(Hoja4!M4,0)</f>
        <v>5.75565899654535E-2</v>
      </c>
    </row>
    <row r="9" spans="1:11" x14ac:dyDescent="0.25">
      <c r="A9" s="73" t="str">
        <f>+Hoja4!B5</f>
        <v>E-00101</v>
      </c>
      <c r="B9" s="103" t="str">
        <f>+Hoja4!C5</f>
        <v>SUELDOS P/ C. FIJOS</v>
      </c>
      <c r="C9" s="100">
        <f>+SUMIF(Hoja4!$B$3:$B$164,$A9,Hoja4!$D$3:$D$164)</f>
        <v>32065860264</v>
      </c>
      <c r="D9" s="100">
        <f>+SUMIF(Hoja4!$B$3:$B$164,$A9,Hoja4!$E$3:$E$164)</f>
        <v>32059885763</v>
      </c>
      <c r="E9" s="100">
        <f>+SUMIF(Hoja4!$B$3:$B$164,$A9,Hoja4!$F$3:$F$164)</f>
        <v>0</v>
      </c>
      <c r="F9" s="100">
        <f>+SUMIF(Hoja4!$B$3:$B$164,$A9,Hoja4!$J$3:$J$164)</f>
        <v>30256945184.060001</v>
      </c>
      <c r="G9" s="100">
        <f>+SUMIF(Hoja4!$B$3:$B$164,$A9,Hoja4!$K$3:$K$164)</f>
        <v>1808915079.9400001</v>
      </c>
      <c r="H9" s="138">
        <f>+IFERROR(Hoja4!L5,0)</f>
        <v>0.94358750817701131</v>
      </c>
      <c r="I9" s="138">
        <f>+IFERROR(Hoja4!M5,0)</f>
        <v>5.6412491822988756E-2</v>
      </c>
    </row>
    <row r="10" spans="1:11" x14ac:dyDescent="0.25">
      <c r="A10" s="73" t="str">
        <f>+Hoja4!B6</f>
        <v>E-00103</v>
      </c>
      <c r="B10" s="103" t="str">
        <f>+Hoja4!C6</f>
        <v>SERVICIOS ESPECIALES</v>
      </c>
      <c r="C10" s="100">
        <f>+SUMIF(Hoja4!$B$3:$B$164,$A10,Hoja4!$D$3:$D$164)</f>
        <v>213161210</v>
      </c>
      <c r="D10" s="100">
        <f>+SUMIF(Hoja4!$B$3:$B$164,$A10,Hoja4!$E$3:$E$164)</f>
        <v>213161210</v>
      </c>
      <c r="E10" s="100">
        <f>+SUMIF(Hoja4!$B$3:$B$164,$A10,Hoja4!$F$3:$F$164)</f>
        <v>0</v>
      </c>
      <c r="F10" s="100">
        <f>+SUMIF(Hoja4!$B$3:$B$164,$A10,Hoja4!$J$3:$J$164)</f>
        <v>166561995</v>
      </c>
      <c r="G10" s="100">
        <f>+SUMIF(Hoja4!$B$3:$B$164,$A10,Hoja4!$K$3:$K$164)</f>
        <v>46599215</v>
      </c>
      <c r="H10" s="138">
        <f>+IFERROR(Hoja4!L6,0)</f>
        <v>0.78138979882878312</v>
      </c>
      <c r="I10" s="138">
        <f>+IFERROR(Hoja4!M6,0)</f>
        <v>0.21861020117121685</v>
      </c>
    </row>
    <row r="11" spans="1:11" x14ac:dyDescent="0.25">
      <c r="A11" s="73" t="str">
        <f>+Hoja4!B7</f>
        <v>E-00105</v>
      </c>
      <c r="B11" s="103" t="str">
        <f>+Hoja4!C7</f>
        <v>SUPLENCIAS</v>
      </c>
      <c r="C11" s="100">
        <f>+SUMIF(Hoja4!$B$3:$B$164,$A11,Hoja4!$D$3:$D$164)</f>
        <v>2500000</v>
      </c>
      <c r="D11" s="100">
        <f>+SUMIF(Hoja4!$B$3:$B$164,$A11,Hoja4!$E$3:$E$164)</f>
        <v>2500000</v>
      </c>
      <c r="E11" s="100">
        <f>+SUMIF(Hoja4!$B$3:$B$164,$A11,Hoja4!$F$3:$F$164)</f>
        <v>0</v>
      </c>
      <c r="F11" s="100">
        <f>+SUMIF(Hoja4!$B$3:$B$164,$A11,Hoja4!$J$3:$J$164)</f>
        <v>0</v>
      </c>
      <c r="G11" s="100">
        <f>+SUMIF(Hoja4!$B$3:$B$164,$A11,Hoja4!$K$3:$K$164)</f>
        <v>2500000</v>
      </c>
      <c r="H11" s="138">
        <f>+IFERROR(Hoja4!L7,0)</f>
        <v>0</v>
      </c>
      <c r="I11" s="138">
        <f>+IFERROR(Hoja4!M7,0)</f>
        <v>1</v>
      </c>
    </row>
    <row r="12" spans="1:11" x14ac:dyDescent="0.25">
      <c r="A12" s="71" t="str">
        <f>+Hoja4!B8</f>
        <v>E-002</v>
      </c>
      <c r="B12" s="102" t="str">
        <f>+Hoja4!C8</f>
        <v>REMUNERACIONES EVENT</v>
      </c>
      <c r="C12" s="72">
        <f>SUM(C13:C15)</f>
        <v>3645387667</v>
      </c>
      <c r="D12" s="72">
        <f t="shared" ref="D12:G12" si="2">SUM(D13:D15)</f>
        <v>3645387667</v>
      </c>
      <c r="E12" s="72">
        <f t="shared" si="2"/>
        <v>0</v>
      </c>
      <c r="F12" s="72">
        <f t="shared" si="2"/>
        <v>3566698072.5300002</v>
      </c>
      <c r="G12" s="72">
        <f t="shared" si="2"/>
        <v>78689594.469999999</v>
      </c>
      <c r="H12" s="143">
        <f>+IFERROR(Hoja4!L8,0)</f>
        <v>0.97841392969468233</v>
      </c>
      <c r="I12" s="143">
        <f>+IFERROR(Hoja4!M8,0)</f>
        <v>2.158607030531768E-2</v>
      </c>
    </row>
    <row r="13" spans="1:11" x14ac:dyDescent="0.25">
      <c r="A13" s="73" t="str">
        <f>+Hoja4!B9</f>
        <v>E-00201</v>
      </c>
      <c r="B13" s="103" t="str">
        <f>+Hoja4!C9</f>
        <v>TIEMPO EXTRAORD.</v>
      </c>
      <c r="C13" s="100">
        <f>+SUMIF(Hoja4!$B$3:$B$164,$A13,Hoja4!$D$3:$D$164)</f>
        <v>18953667</v>
      </c>
      <c r="D13" s="100">
        <f>+SUMIF(Hoja4!$B$3:$B$164,$A13,Hoja4!$E$3:$E$164)</f>
        <v>18953667</v>
      </c>
      <c r="E13" s="100">
        <f>+SUMIF(Hoja4!$B$3:$B$164,$A13,Hoja4!$F$3:$F$164)</f>
        <v>0</v>
      </c>
      <c r="F13" s="100">
        <f>+SUMIF(Hoja4!$B$3:$B$164,$A13,Hoja4!$J$3:$J$164)</f>
        <v>16847992.399999999</v>
      </c>
      <c r="G13" s="100">
        <f>+SUMIF(Hoja4!$B$3:$B$164,$A13,Hoja4!$K$3:$K$164)</f>
        <v>2105674.6</v>
      </c>
      <c r="H13" s="138">
        <f>+IFERROR(Hoja4!L9,0)</f>
        <v>0.8889041049418035</v>
      </c>
      <c r="I13" s="138">
        <f>+IFERROR(Hoja4!M9,0)</f>
        <v>0.11109589505819639</v>
      </c>
    </row>
    <row r="14" spans="1:11" x14ac:dyDescent="0.25">
      <c r="A14" s="73" t="str">
        <f>+Hoja4!B10</f>
        <v>E-00202</v>
      </c>
      <c r="B14" s="103" t="str">
        <f>+Hoja4!C10</f>
        <v>RECARGO DE FUNCIONES</v>
      </c>
      <c r="C14" s="100">
        <f>+SUMIF(Hoja4!$B$3:$B$164,$A14,Hoja4!$D$3:$D$164)</f>
        <v>15000000</v>
      </c>
      <c r="D14" s="100">
        <f>+SUMIF(Hoja4!$B$3:$B$164,$A14,Hoja4!$E$3:$E$164)</f>
        <v>15000000</v>
      </c>
      <c r="E14" s="100">
        <f>+SUMIF(Hoja4!$B$3:$B$164,$A14,Hoja4!$F$3:$F$164)</f>
        <v>0</v>
      </c>
      <c r="F14" s="100">
        <f>+SUMIF(Hoja4!$B$3:$B$164,$A14,Hoja4!$J$3:$J$164)</f>
        <v>12613806.5</v>
      </c>
      <c r="G14" s="100">
        <f>+SUMIF(Hoja4!$B$3:$B$164,$A14,Hoja4!$K$3:$K$164)</f>
        <v>2386193.5</v>
      </c>
      <c r="H14" s="138">
        <f>+IFERROR(Hoja4!L10,0)</f>
        <v>0.84092043333333333</v>
      </c>
      <c r="I14" s="138">
        <f>+IFERROR(Hoja4!M10,0)</f>
        <v>0.15907956666666667</v>
      </c>
    </row>
    <row r="15" spans="1:11" x14ac:dyDescent="0.25">
      <c r="A15" s="73" t="str">
        <f>+Hoja4!B11</f>
        <v>E-00203</v>
      </c>
      <c r="B15" s="103" t="str">
        <f>+Hoja4!C11</f>
        <v>DISPONIBILIDAD LAB.</v>
      </c>
      <c r="C15" s="100">
        <f>+SUMIF(Hoja4!$B$3:$B$164,$A15,Hoja4!$D$3:$D$164)</f>
        <v>3611434000</v>
      </c>
      <c r="D15" s="100">
        <f>+SUMIF(Hoja4!$B$3:$B$164,$A15,Hoja4!$E$3:$E$164)</f>
        <v>3611434000</v>
      </c>
      <c r="E15" s="100">
        <f>+SUMIF(Hoja4!$B$3:$B$164,$A15,Hoja4!$F$3:$F$164)</f>
        <v>0</v>
      </c>
      <c r="F15" s="100">
        <f>+SUMIF(Hoja4!$B$3:$B$164,$A15,Hoja4!$J$3:$J$164)</f>
        <v>3537236273.6300001</v>
      </c>
      <c r="G15" s="100">
        <f>+SUMIF(Hoja4!$B$3:$B$164,$A15,Hoja4!$K$3:$K$164)</f>
        <v>74197726.370000005</v>
      </c>
      <c r="H15" s="138">
        <f>+IFERROR(Hoja4!L11,0)</f>
        <v>0.97945477437217465</v>
      </c>
      <c r="I15" s="138">
        <f>+IFERROR(Hoja4!M11,0)</f>
        <v>2.0545225627825403E-2</v>
      </c>
    </row>
    <row r="16" spans="1:11" x14ac:dyDescent="0.25">
      <c r="A16" s="71" t="str">
        <f>+Hoja4!B12</f>
        <v>E-003</v>
      </c>
      <c r="B16" s="102" t="str">
        <f>+Hoja4!C12</f>
        <v>INCENTIVOS SALARIAL</v>
      </c>
      <c r="C16" s="72">
        <f>SUM(C17:C21)</f>
        <v>40068946019</v>
      </c>
      <c r="D16" s="72">
        <f t="shared" ref="D16:G16" si="3">SUM(D17:D21)</f>
        <v>40068946019</v>
      </c>
      <c r="E16" s="72">
        <f t="shared" si="3"/>
        <v>0</v>
      </c>
      <c r="F16" s="72">
        <f t="shared" si="3"/>
        <v>38783403496.18</v>
      </c>
      <c r="G16" s="72">
        <f t="shared" si="3"/>
        <v>1285542522.8199999</v>
      </c>
      <c r="H16" s="143">
        <f>+IFERROR(Hoja4!L12,0)</f>
        <v>0.96791673726056038</v>
      </c>
      <c r="I16" s="143">
        <f>+IFERROR(Hoja4!M12,0)</f>
        <v>3.2083262739439615E-2</v>
      </c>
    </row>
    <row r="17" spans="1:11" x14ac:dyDescent="0.25">
      <c r="A17" s="73" t="str">
        <f>+Hoja4!B13</f>
        <v>E-00301</v>
      </c>
      <c r="B17" s="103" t="str">
        <f>+Hoja4!C13</f>
        <v>RETRIB AÑOS SERVIDOS</v>
      </c>
      <c r="C17" s="100">
        <f>+SUMIF(Hoja4!$B$3:$B$164,$A17,Hoja4!$D$3:$D$164)</f>
        <v>11699468775</v>
      </c>
      <c r="D17" s="100">
        <f>+SUMIF(Hoja4!$B$3:$B$164,$A17,Hoja4!$E$3:$E$164)</f>
        <v>11699468775</v>
      </c>
      <c r="E17" s="100">
        <f>+SUMIF(Hoja4!$B$3:$B$164,$A17,Hoja4!$F$3:$F$164)</f>
        <v>0</v>
      </c>
      <c r="F17" s="100">
        <f>+SUMIF(Hoja4!$B$3:$B$164,$A17,Hoja4!$J$3:$J$164)</f>
        <v>11280984112.76</v>
      </c>
      <c r="G17" s="100">
        <f>+SUMIF(Hoja4!$B$3:$B$164,$A17,Hoja4!$K$3:$K$164)</f>
        <v>418484662.24000001</v>
      </c>
      <c r="H17" s="138">
        <f>+IFERROR(Hoja4!L13,0)</f>
        <v>0.96423045607555802</v>
      </c>
      <c r="I17" s="138">
        <f>+IFERROR(Hoja4!M13,0)</f>
        <v>3.5769543924441989E-2</v>
      </c>
    </row>
    <row r="18" spans="1:11" x14ac:dyDescent="0.25">
      <c r="A18" s="73" t="str">
        <f>+Hoja4!B14</f>
        <v>E-00302</v>
      </c>
      <c r="B18" s="103" t="str">
        <f>+Hoja4!C14</f>
        <v>REST. EJERC LIB PROF</v>
      </c>
      <c r="C18" s="100">
        <f>+SUMIF(Hoja4!$B$3:$B$164,$A18,Hoja4!$D$3:$D$164)</f>
        <v>8077517267</v>
      </c>
      <c r="D18" s="100">
        <f>+SUMIF(Hoja4!$B$3:$B$164,$A18,Hoja4!$E$3:$E$164)</f>
        <v>8077517267</v>
      </c>
      <c r="E18" s="100">
        <f>+SUMIF(Hoja4!$B$3:$B$164,$A18,Hoja4!$F$3:$F$164)</f>
        <v>0</v>
      </c>
      <c r="F18" s="100">
        <f>+SUMIF(Hoja4!$B$3:$B$164,$A18,Hoja4!$J$3:$J$164)</f>
        <v>7770879159.3299999</v>
      </c>
      <c r="G18" s="100">
        <f>+SUMIF(Hoja4!$B$3:$B$164,$A18,Hoja4!$K$3:$K$164)</f>
        <v>306638107.66999996</v>
      </c>
      <c r="H18" s="138">
        <f>+IFERROR(Hoja4!L14,0)</f>
        <v>0.96203807462934887</v>
      </c>
      <c r="I18" s="138">
        <f>+IFERROR(Hoja4!M14,0)</f>
        <v>3.7961925370651142E-2</v>
      </c>
    </row>
    <row r="19" spans="1:11" x14ac:dyDescent="0.25">
      <c r="A19" s="73" t="str">
        <f>+Hoja4!B15</f>
        <v>E-00303</v>
      </c>
      <c r="B19" s="103" t="str">
        <f>+Hoja4!C15</f>
        <v>DECIMOTERCER MES</v>
      </c>
      <c r="C19" s="100">
        <f>+SUMIF(Hoja4!$B$3:$B$164,$A19,Hoja4!$D$3:$D$164)</f>
        <v>5785022089</v>
      </c>
      <c r="D19" s="100">
        <f>+SUMIF(Hoja4!$B$3:$B$164,$A19,Hoja4!$E$3:$E$164)</f>
        <v>5785022089</v>
      </c>
      <c r="E19" s="100">
        <f>+SUMIF(Hoja4!$B$3:$B$164,$A19,Hoja4!$F$3:$F$164)</f>
        <v>0</v>
      </c>
      <c r="F19" s="100">
        <f>+SUMIF(Hoja4!$B$3:$B$164,$A19,Hoja4!$J$3:$J$164)</f>
        <v>5619225735.7799997</v>
      </c>
      <c r="G19" s="100">
        <f>+SUMIF(Hoja4!$B$3:$B$164,$A19,Hoja4!$K$3:$K$164)</f>
        <v>165796353.22</v>
      </c>
      <c r="H19" s="138">
        <f>+IFERROR(Hoja4!L15,0)</f>
        <v>0.97134041138144389</v>
      </c>
      <c r="I19" s="138">
        <f>+IFERROR(Hoja4!M15,0)</f>
        <v>2.8659588618556095E-2</v>
      </c>
    </row>
    <row r="20" spans="1:11" x14ac:dyDescent="0.25">
      <c r="A20" s="73" t="str">
        <f>+Hoja4!B16</f>
        <v>E-00304</v>
      </c>
      <c r="B20" s="103" t="str">
        <f>+Hoja4!C16</f>
        <v>SALARIO ESCOLAR</v>
      </c>
      <c r="C20" s="100">
        <f>+SUMIF(Hoja4!$B$3:$B$164,$A20,Hoja4!$D$3:$D$164)</f>
        <v>4943339000</v>
      </c>
      <c r="D20" s="100">
        <f>+SUMIF(Hoja4!$B$3:$B$164,$A20,Hoja4!$E$3:$E$164)</f>
        <v>4943339000</v>
      </c>
      <c r="E20" s="100">
        <f>+SUMIF(Hoja4!$B$3:$B$164,$A20,Hoja4!$F$3:$F$164)</f>
        <v>0</v>
      </c>
      <c r="F20" s="100">
        <f>+SUMIF(Hoja4!$B$3:$B$164,$A20,Hoja4!$J$3:$J$164)</f>
        <v>4933675603.5199995</v>
      </c>
      <c r="G20" s="100">
        <f>+SUMIF(Hoja4!$B$3:$B$164,$A20,Hoja4!$K$3:$K$164)</f>
        <v>9663396.4799999986</v>
      </c>
      <c r="H20" s="138">
        <f>+IFERROR(Hoja4!L16,0)</f>
        <v>0.99804516815860689</v>
      </c>
      <c r="I20" s="138">
        <f>+IFERROR(Hoja4!M16,0)</f>
        <v>1.954831841393034E-3</v>
      </c>
    </row>
    <row r="21" spans="1:11" x14ac:dyDescent="0.25">
      <c r="A21" s="73" t="str">
        <f>+Hoja4!B17</f>
        <v>E-00399</v>
      </c>
      <c r="B21" s="103" t="str">
        <f>+Hoja4!C17</f>
        <v>OTROS INCENT SALAR.</v>
      </c>
      <c r="C21" s="100">
        <f>+SUMIF(Hoja4!$B$3:$B$164,$A21,Hoja4!$D$3:$D$164)</f>
        <v>9563598888</v>
      </c>
      <c r="D21" s="100">
        <f>+SUMIF(Hoja4!$B$3:$B$164,$A21,Hoja4!$E$3:$E$164)</f>
        <v>9563598888</v>
      </c>
      <c r="E21" s="100">
        <f>+SUMIF(Hoja4!$B$3:$B$164,$A21,Hoja4!$F$3:$F$164)</f>
        <v>0</v>
      </c>
      <c r="F21" s="100">
        <f>+SUMIF(Hoja4!$B$3:$B$164,$A21,Hoja4!$J$3:$J$164)</f>
        <v>9178638884.7900009</v>
      </c>
      <c r="G21" s="100">
        <f>+SUMIF(Hoja4!$B$3:$B$164,$A21,Hoja4!$K$3:$K$164)</f>
        <v>384960003.20999998</v>
      </c>
      <c r="H21" s="138">
        <f>+IFERROR(Hoja4!L17,0)</f>
        <v>0.9597473704493158</v>
      </c>
      <c r="I21" s="138">
        <f>+IFERROR(Hoja4!M17,0)</f>
        <v>4.0252629550684267E-2</v>
      </c>
    </row>
    <row r="22" spans="1:11" x14ac:dyDescent="0.25">
      <c r="A22" s="71" t="str">
        <f>+Hoja4!B18</f>
        <v>E-004</v>
      </c>
      <c r="B22" s="102" t="str">
        <f>+Hoja4!C18</f>
        <v>CONT PATR DESA S.SOC</v>
      </c>
      <c r="C22" s="72">
        <f>SUM(C23:C24)</f>
        <v>6887191746</v>
      </c>
      <c r="D22" s="72">
        <f t="shared" ref="D22:G22" si="4">SUM(D23:D24)</f>
        <v>6887191746</v>
      </c>
      <c r="E22" s="72">
        <f t="shared" si="4"/>
        <v>0</v>
      </c>
      <c r="F22" s="72">
        <f t="shared" si="4"/>
        <v>6537809602</v>
      </c>
      <c r="G22" s="72">
        <f t="shared" si="4"/>
        <v>349382144</v>
      </c>
      <c r="H22" s="143">
        <f>+IFERROR(Hoja4!L18,0)</f>
        <v>0.94927073952849983</v>
      </c>
      <c r="I22" s="143">
        <f>+IFERROR(Hoja4!M18,0)</f>
        <v>5.0729260471500164E-2</v>
      </c>
    </row>
    <row r="23" spans="1:11" x14ac:dyDescent="0.25">
      <c r="A23" s="73" t="str">
        <f>+Hoja4!B19</f>
        <v>E-00401</v>
      </c>
      <c r="B23" s="103" t="str">
        <f>+Hoja4!C19</f>
        <v>CONT P.SEG.S C.C.S.S</v>
      </c>
      <c r="C23" s="100">
        <f>+SUMIF(Hoja4!$B$3:$B$164,$A23,Hoja4!$D$3:$D$164)</f>
        <v>6534349303</v>
      </c>
      <c r="D23" s="100">
        <f>+SUMIF(Hoja4!$B$3:$B$164,$A23,Hoja4!$E$3:$E$164)</f>
        <v>6534349303</v>
      </c>
      <c r="E23" s="100">
        <f>+SUMIF(Hoja4!$B$3:$B$164,$A23,Hoja4!$F$3:$F$164)</f>
        <v>0</v>
      </c>
      <c r="F23" s="100">
        <f>+SUMIF(Hoja4!$B$3:$B$164,$A23,Hoja4!$J$3:$J$164)</f>
        <v>6202557844</v>
      </c>
      <c r="G23" s="100">
        <f>+SUMIF(Hoja4!$B$3:$B$164,$A23,Hoja4!$K$3:$K$164)</f>
        <v>331791459</v>
      </c>
      <c r="H23" s="138">
        <f>+IFERROR(Hoja4!L19,0)</f>
        <v>0.94922348904003795</v>
      </c>
      <c r="I23" s="138">
        <f>+IFERROR(Hoja4!M19,0)</f>
        <v>5.0776510959962065E-2</v>
      </c>
    </row>
    <row r="24" spans="1:11" x14ac:dyDescent="0.25">
      <c r="A24" s="73" t="str">
        <f>+Hoja4!B20</f>
        <v>E-00405</v>
      </c>
      <c r="B24" s="103" t="str">
        <f>+Hoja4!C20</f>
        <v>CONTRIB PAT B.P.D.C.</v>
      </c>
      <c r="C24" s="100">
        <f>+SUMIF(Hoja4!$B$3:$B$164,$A24,Hoja4!$D$3:$D$164)</f>
        <v>352842443</v>
      </c>
      <c r="D24" s="100">
        <f>+SUMIF(Hoja4!$B$3:$B$164,$A24,Hoja4!$E$3:$E$164)</f>
        <v>352842443</v>
      </c>
      <c r="E24" s="100">
        <f>+SUMIF(Hoja4!$B$3:$B$164,$A24,Hoja4!$F$3:$F$164)</f>
        <v>0</v>
      </c>
      <c r="F24" s="100">
        <f>+SUMIF(Hoja4!$B$3:$B$164,$A24,Hoja4!$J$3:$J$164)</f>
        <v>335251758</v>
      </c>
      <c r="G24" s="100">
        <f>+SUMIF(Hoja4!$B$3:$B$164,$A24,Hoja4!$K$3:$K$164)</f>
        <v>17590685</v>
      </c>
      <c r="H24" s="138">
        <f>+IFERROR(Hoja4!L20,0)</f>
        <v>0.95014577937269296</v>
      </c>
      <c r="I24" s="138">
        <f>+IFERROR(Hoja4!M20,0)</f>
        <v>4.9854220627307017E-2</v>
      </c>
    </row>
    <row r="25" spans="1:11" x14ac:dyDescent="0.25">
      <c r="A25" s="71" t="str">
        <f>+Hoja4!B21</f>
        <v>E-005</v>
      </c>
      <c r="B25" s="102" t="str">
        <f>+Hoja4!C21</f>
        <v>CONT PATR F.PENS OTR</v>
      </c>
      <c r="C25" s="72">
        <f>SUM(C26:C29)</f>
        <v>6763046582</v>
      </c>
      <c r="D25" s="72">
        <f t="shared" ref="D25:G25" si="5">SUM(D26:D29)</f>
        <v>6763046582</v>
      </c>
      <c r="E25" s="72">
        <f t="shared" si="5"/>
        <v>0</v>
      </c>
      <c r="F25" s="72">
        <f t="shared" si="5"/>
        <v>6415558585.8400002</v>
      </c>
      <c r="G25" s="72">
        <f t="shared" si="5"/>
        <v>347487996.16000003</v>
      </c>
      <c r="H25" s="143">
        <f>+IFERROR(Hoja4!L21,0)</f>
        <v>0.94861960627554354</v>
      </c>
      <c r="I25" s="143">
        <f>+IFERROR(Hoja4!M21,0)</f>
        <v>5.1380393724456533E-2</v>
      </c>
    </row>
    <row r="26" spans="1:11" s="23" customFormat="1" x14ac:dyDescent="0.25">
      <c r="A26" s="73" t="str">
        <f>+Hoja4!B22</f>
        <v>E-00501</v>
      </c>
      <c r="B26" s="103" t="str">
        <f>+Hoja4!C22</f>
        <v>CONT P.SPENS.C.C.S.S</v>
      </c>
      <c r="C26" s="100">
        <f>+SUMIF(Hoja4!$B$3:$B$164,$A26,Hoja4!$D$3:$D$164)</f>
        <v>3498204785</v>
      </c>
      <c r="D26" s="100">
        <f>+SUMIF(Hoja4!$B$3:$B$164,$A26,Hoja4!$E$3:$E$164)</f>
        <v>3498204785</v>
      </c>
      <c r="E26" s="100">
        <f>+SUMIF(Hoja4!$B$3:$B$164,$A26,Hoja4!$F$3:$F$164)</f>
        <v>0</v>
      </c>
      <c r="F26" s="100">
        <f>+SUMIF(Hoja4!$B$3:$B$164,$A26,Hoja4!$J$3:$J$164)</f>
        <v>3307789009</v>
      </c>
      <c r="G26" s="100">
        <f>+SUMIF(Hoja4!$B$3:$B$164,$A26,Hoja4!$K$3:$K$164)</f>
        <v>190415776</v>
      </c>
      <c r="H26" s="143">
        <f>+IFERROR(Hoja4!L22,0)</f>
        <v>0.9455675731688189</v>
      </c>
      <c r="I26" s="143">
        <f>+IFERROR(Hoja4!M22,0)</f>
        <v>5.4432426831181067E-2</v>
      </c>
      <c r="J26" s="128"/>
      <c r="K26" s="128"/>
    </row>
    <row r="27" spans="1:11" x14ac:dyDescent="0.25">
      <c r="A27" s="73" t="str">
        <f>+Hoja4!B23</f>
        <v>E-00502</v>
      </c>
      <c r="B27" s="103" t="str">
        <f>+Hoja4!C23</f>
        <v>APORT P.RÉG.OBLI.P.C</v>
      </c>
      <c r="C27" s="100">
        <f>+SUMIF(Hoja4!$B$3:$B$164,$A27,Hoja4!$D$3:$D$164)</f>
        <v>1058152235</v>
      </c>
      <c r="D27" s="100">
        <f>+SUMIF(Hoja4!$B$3:$B$164,$A27,Hoja4!$E$3:$E$164)</f>
        <v>1058152235</v>
      </c>
      <c r="E27" s="100">
        <f>+SUMIF(Hoja4!$B$3:$B$164,$A27,Hoja4!$F$3:$F$164)</f>
        <v>0</v>
      </c>
      <c r="F27" s="100">
        <f>+SUMIF(Hoja4!$B$3:$B$164,$A27,Hoja4!$J$3:$J$164)</f>
        <v>1006048443</v>
      </c>
      <c r="G27" s="100">
        <f>+SUMIF(Hoja4!$B$3:$B$164,$A27,Hoja4!$K$3:$K$164)</f>
        <v>52103792</v>
      </c>
      <c r="H27" s="138">
        <f>+IFERROR(Hoja4!L23,0)</f>
        <v>0.95075964471218077</v>
      </c>
      <c r="I27" s="138">
        <f>+IFERROR(Hoja4!M23,0)</f>
        <v>4.924035528781924E-2</v>
      </c>
    </row>
    <row r="28" spans="1:11" x14ac:dyDescent="0.25">
      <c r="A28" s="73" t="str">
        <f>+Hoja4!B24</f>
        <v>E-00503</v>
      </c>
      <c r="B28" s="103" t="str">
        <f>+Hoja4!C24</f>
        <v>APORT P.FOND.CAP.LAB</v>
      </c>
      <c r="C28" s="100">
        <f>+SUMIF(Hoja4!$B$3:$B$164,$A28,Hoja4!$D$3:$D$164)</f>
        <v>2115689562</v>
      </c>
      <c r="D28" s="100">
        <f>+SUMIF(Hoja4!$B$3:$B$164,$A28,Hoja4!$E$3:$E$164)</f>
        <v>2115689562</v>
      </c>
      <c r="E28" s="100">
        <f>+SUMIF(Hoja4!$B$3:$B$164,$A28,Hoja4!$F$3:$F$164)</f>
        <v>0</v>
      </c>
      <c r="F28" s="100">
        <f>+SUMIF(Hoja4!$B$3:$B$164,$A28,Hoja4!$J$3:$J$164)</f>
        <v>2011510415</v>
      </c>
      <c r="G28" s="100">
        <f>+SUMIF(Hoja4!$B$3:$B$164,$A28,Hoja4!$K$3:$K$164)</f>
        <v>104179147</v>
      </c>
      <c r="H28" s="138">
        <f>+IFERROR(Hoja4!L24,0)</f>
        <v>0.95075877441040191</v>
      </c>
      <c r="I28" s="138">
        <f>+IFERROR(Hoja4!M24,0)</f>
        <v>4.9241225589598099E-2</v>
      </c>
    </row>
    <row r="29" spans="1:11" x14ac:dyDescent="0.25">
      <c r="A29" s="73" t="str">
        <f>+Hoja4!B25</f>
        <v>E-00505</v>
      </c>
      <c r="B29" s="103" t="str">
        <f>+Hoja4!C25</f>
        <v>CONT.PAT.A.F.A.EPRIV</v>
      </c>
      <c r="C29" s="100">
        <f>+SUMIF(Hoja4!$B$3:$B$164,$A29,Hoja4!$D$3:$D$164)</f>
        <v>91000000</v>
      </c>
      <c r="D29" s="100">
        <f>+SUMIF(Hoja4!$B$3:$B$164,$A29,Hoja4!$E$3:$E$164)</f>
        <v>91000000</v>
      </c>
      <c r="E29" s="100">
        <f>+SUMIF(Hoja4!$B$3:$B$164,$A29,Hoja4!$F$3:$F$164)</f>
        <v>0</v>
      </c>
      <c r="F29" s="100">
        <f>+SUMIF(Hoja4!$B$3:$B$164,$A29,Hoja4!$J$3:$J$164)</f>
        <v>90210718.840000004</v>
      </c>
      <c r="G29" s="100">
        <f>+SUMIF(Hoja4!$B$3:$B$164,$A29,Hoja4!$K$3:$K$164)</f>
        <v>789281.16</v>
      </c>
      <c r="H29" s="138">
        <f>+IFERROR(Hoja4!L25,0)</f>
        <v>0.99132658065934065</v>
      </c>
      <c r="I29" s="138">
        <f>+IFERROR(Hoja4!M25,0)</f>
        <v>8.6734193406593409E-3</v>
      </c>
    </row>
    <row r="30" spans="1:11" x14ac:dyDescent="0.25">
      <c r="A30" s="71" t="str">
        <f>+Hoja4!B26</f>
        <v>E-099</v>
      </c>
      <c r="B30" s="102" t="str">
        <f>+Hoja4!C26</f>
        <v>REMUNERACIONES DIVER</v>
      </c>
      <c r="C30" s="72">
        <f>+C31</f>
        <v>0</v>
      </c>
      <c r="D30" s="72">
        <f t="shared" ref="D30:G30" si="6">+D31</f>
        <v>0</v>
      </c>
      <c r="E30" s="72">
        <f t="shared" si="6"/>
        <v>0</v>
      </c>
      <c r="F30" s="72">
        <f t="shared" si="6"/>
        <v>0</v>
      </c>
      <c r="G30" s="72">
        <f t="shared" si="6"/>
        <v>0</v>
      </c>
      <c r="H30" s="143">
        <f>+IFERROR(Hoja4!L26,0)</f>
        <v>0</v>
      </c>
      <c r="I30" s="143">
        <f>+IFERROR(Hoja4!M26,0)</f>
        <v>0</v>
      </c>
    </row>
    <row r="31" spans="1:11" x14ac:dyDescent="0.25">
      <c r="A31" s="73" t="str">
        <f>+Hoja4!B27</f>
        <v>E-09901</v>
      </c>
      <c r="B31" s="103" t="str">
        <f>+Hoja4!C27</f>
        <v>GASTOS REPRES.PERS.</v>
      </c>
      <c r="C31" s="100">
        <f>+SUMIF(Hoja4!$B$3:$B$164,$A31,Hoja4!$D$3:$D$164)</f>
        <v>0</v>
      </c>
      <c r="D31" s="100">
        <f>+SUMIF(Hoja4!$B$3:$B$164,$A31,Hoja4!$E$3:$E$164)</f>
        <v>0</v>
      </c>
      <c r="E31" s="100">
        <f>+SUMIF(Hoja4!$B$3:$B$164,$A31,Hoja4!$F$3:$F$164)</f>
        <v>0</v>
      </c>
      <c r="F31" s="100">
        <f>+SUMIF(Hoja4!$B$3:$B$164,$A31,Hoja4!$J$3:$J$164)</f>
        <v>0</v>
      </c>
      <c r="G31" s="100">
        <f>+SUMIF(Hoja4!$B$3:$B$164,$A31,Hoja4!$K$3:$K$164)</f>
        <v>0</v>
      </c>
      <c r="H31" s="138">
        <f>+IFERROR(Hoja4!L27,0)</f>
        <v>0</v>
      </c>
      <c r="I31" s="138">
        <f>+IFERROR(Hoja4!M27,0)</f>
        <v>0</v>
      </c>
    </row>
    <row r="32" spans="1:11" x14ac:dyDescent="0.25">
      <c r="A32" s="148" t="str">
        <f>+Hoja4!B28</f>
        <v>E-1</v>
      </c>
      <c r="B32" s="149" t="str">
        <f>+Hoja4!C28</f>
        <v>SERVICIOS</v>
      </c>
      <c r="C32" s="152">
        <f>+C33+C39+C45+C52+C60+C65+C68+C72+C80+C82</f>
        <v>16216640106.32</v>
      </c>
      <c r="D32" s="152">
        <f t="shared" ref="D32:G32" si="7">+D33+D39+D45+D52+D60+D65+D68+D72+D80+D82</f>
        <v>16216640106.32</v>
      </c>
      <c r="E32" s="152">
        <f t="shared" si="7"/>
        <v>0</v>
      </c>
      <c r="F32" s="152">
        <f t="shared" si="7"/>
        <v>14945527953.41</v>
      </c>
      <c r="G32" s="152">
        <f t="shared" si="7"/>
        <v>1271112152.9099998</v>
      </c>
      <c r="H32" s="151">
        <f>+IFERROR(Hoja4!L28,0)</f>
        <v>0.92161679949876807</v>
      </c>
      <c r="I32" s="151">
        <f>+IFERROR(Hoja4!M28,0)</f>
        <v>7.8383200501231945E-2</v>
      </c>
      <c r="K32" s="25">
        <f>+C32-Estado!C62</f>
        <v>0</v>
      </c>
    </row>
    <row r="33" spans="1:11" x14ac:dyDescent="0.25">
      <c r="A33" s="71" t="str">
        <f>+Hoja4!B29</f>
        <v>E-101</v>
      </c>
      <c r="B33" s="102" t="str">
        <f>+Hoja4!C29</f>
        <v>ALQUILERES</v>
      </c>
      <c r="C33" s="72">
        <f>SUM(C34:C38)</f>
        <v>6493906031</v>
      </c>
      <c r="D33" s="72">
        <f t="shared" ref="D33:G33" si="8">SUM(D34:D38)</f>
        <v>6493906031</v>
      </c>
      <c r="E33" s="72">
        <f t="shared" si="8"/>
        <v>0</v>
      </c>
      <c r="F33" s="72">
        <f t="shared" si="8"/>
        <v>6000453953.96</v>
      </c>
      <c r="G33" s="72">
        <f t="shared" si="8"/>
        <v>493452077.03999996</v>
      </c>
      <c r="H33" s="143">
        <f>+IFERROR(Hoja4!L29,0)</f>
        <v>0.92401305551937396</v>
      </c>
      <c r="I33" s="143">
        <f>+IFERROR(Hoja4!M29,0)</f>
        <v>7.5986944480626109E-2</v>
      </c>
      <c r="K33" s="25">
        <f>+C33-Estado!C63</f>
        <v>0</v>
      </c>
    </row>
    <row r="34" spans="1:11" x14ac:dyDescent="0.25">
      <c r="A34" s="73" t="str">
        <f>+Hoja4!B30</f>
        <v>E-10101</v>
      </c>
      <c r="B34" s="103" t="str">
        <f>+Hoja4!C30</f>
        <v>ALQ EDIF, LOC.Y TERR</v>
      </c>
      <c r="C34" s="100">
        <f>+SUMIF(Hoja4!$B$3:$B$164,$A34,Hoja4!$D$3:$D$164)</f>
        <v>683348040</v>
      </c>
      <c r="D34" s="100">
        <f>+SUMIF(Hoja4!$B$3:$B$164,$A34,Hoja4!$E$3:$E$164)</f>
        <v>683348040</v>
      </c>
      <c r="E34" s="100">
        <f>+SUMIF(Hoja4!$B$3:$B$164,$A34,Hoja4!$F$3:$F$164)</f>
        <v>0</v>
      </c>
      <c r="F34" s="100">
        <f>+SUMIF(Hoja4!$B$3:$B$164,$A34,Hoja4!$J$3:$J$164)</f>
        <v>634115867.20000005</v>
      </c>
      <c r="G34" s="100">
        <f>+SUMIF(Hoja4!$B$3:$B$164,$A34,Hoja4!$K$3:$K$164)</f>
        <v>49232172.799999997</v>
      </c>
      <c r="H34" s="138">
        <f>+IFERROR(Hoja4!L30,0)</f>
        <v>0.92795446841407503</v>
      </c>
      <c r="I34" s="138">
        <f>+IFERROR(Hoja4!M30,0)</f>
        <v>7.2045531585925082E-2</v>
      </c>
    </row>
    <row r="35" spans="1:11" x14ac:dyDescent="0.25">
      <c r="A35" s="73" t="str">
        <f>+Hoja4!B31</f>
        <v>E-10102</v>
      </c>
      <c r="B35" s="103" t="str">
        <f>+Hoja4!C31</f>
        <v>ALQ DE MAQ, EQ Y MOB</v>
      </c>
      <c r="C35" s="100">
        <f>+SUMIF(Hoja4!$B$3:$B$164,$A35,Hoja4!$D$3:$D$164)</f>
        <v>6134000</v>
      </c>
      <c r="D35" s="100">
        <f>+SUMIF(Hoja4!$B$3:$B$164,$A35,Hoja4!$E$3:$E$164)</f>
        <v>6134000</v>
      </c>
      <c r="E35" s="100">
        <f>+SUMIF(Hoja4!$B$3:$B$164,$A35,Hoja4!$F$3:$F$164)</f>
        <v>0</v>
      </c>
      <c r="F35" s="100">
        <f>+SUMIF(Hoja4!$B$3:$B$164,$A35,Hoja4!$J$3:$J$164)</f>
        <v>2849428.34</v>
      </c>
      <c r="G35" s="100">
        <f>+SUMIF(Hoja4!$B$3:$B$164,$A35,Hoja4!$K$3:$K$164)</f>
        <v>3284571.66</v>
      </c>
      <c r="H35" s="138">
        <f>+IFERROR(Hoja4!L31,0)</f>
        <v>0.46453021519400062</v>
      </c>
      <c r="I35" s="138">
        <f>+IFERROR(Hoja4!M31,0)</f>
        <v>0.53546978480599938</v>
      </c>
    </row>
    <row r="36" spans="1:11" x14ac:dyDescent="0.25">
      <c r="A36" s="73" t="str">
        <f>+Hoja4!B32</f>
        <v>E-10103</v>
      </c>
      <c r="B36" s="103" t="str">
        <f>+Hoja4!C32</f>
        <v>ALQ. EQ. DE COMPUTO</v>
      </c>
      <c r="C36" s="100">
        <f>+SUMIF(Hoja4!$B$3:$B$164,$A36,Hoja4!$D$3:$D$164)</f>
        <v>1168734000</v>
      </c>
      <c r="D36" s="100">
        <f>+SUMIF(Hoja4!$B$3:$B$164,$A36,Hoja4!$E$3:$E$164)</f>
        <v>1168734000</v>
      </c>
      <c r="E36" s="100">
        <f>+SUMIF(Hoja4!$B$3:$B$164,$A36,Hoja4!$F$3:$F$164)</f>
        <v>0</v>
      </c>
      <c r="F36" s="100">
        <f>+SUMIF(Hoja4!$B$3:$B$164,$A36,Hoja4!$J$3:$J$164)</f>
        <v>1054466986.6800001</v>
      </c>
      <c r="G36" s="100">
        <f>+SUMIF(Hoja4!$B$3:$B$164,$A36,Hoja4!$K$3:$K$164)</f>
        <v>114267013.32000001</v>
      </c>
      <c r="H36" s="138">
        <f>+IFERROR(Hoja4!L32,0)</f>
        <v>0.90223009399914789</v>
      </c>
      <c r="I36" s="138">
        <f>+IFERROR(Hoja4!M32,0)</f>
        <v>9.7769906000852211E-2</v>
      </c>
    </row>
    <row r="37" spans="1:11" x14ac:dyDescent="0.25">
      <c r="A37" s="73" t="str">
        <f>+Hoja4!B33</f>
        <v>E-10104</v>
      </c>
      <c r="B37" s="103" t="str">
        <f>+Hoja4!C33</f>
        <v>ALQ Y DERECH P.TELEC</v>
      </c>
      <c r="C37" s="100">
        <f>+SUMIF(Hoja4!$B$3:$B$164,$A37,Hoja4!$D$3:$D$164)</f>
        <v>21133488</v>
      </c>
      <c r="D37" s="100">
        <f>+SUMIF(Hoja4!$B$3:$B$164,$A37,Hoja4!$E$3:$E$164)</f>
        <v>21133488</v>
      </c>
      <c r="E37" s="100">
        <f>+SUMIF(Hoja4!$B$3:$B$164,$A37,Hoja4!$F$3:$F$164)</f>
        <v>0</v>
      </c>
      <c r="F37" s="100">
        <f>+SUMIF(Hoja4!$B$3:$B$164,$A37,Hoja4!$J$3:$J$164)</f>
        <v>20660114.68</v>
      </c>
      <c r="G37" s="100">
        <f>+SUMIF(Hoja4!$B$3:$B$164,$A37,Hoja4!$K$3:$K$164)</f>
        <v>473373.32</v>
      </c>
      <c r="H37" s="138">
        <f>+IFERROR(Hoja4!L33,0)</f>
        <v>0.97760079547682799</v>
      </c>
      <c r="I37" s="138">
        <f>+IFERROR(Hoja4!M33,0)</f>
        <v>2.2399204523171946E-2</v>
      </c>
    </row>
    <row r="38" spans="1:11" x14ac:dyDescent="0.25">
      <c r="A38" s="73" t="str">
        <f>+Hoja4!B34</f>
        <v>E-10199</v>
      </c>
      <c r="B38" s="103" t="str">
        <f>+Hoja4!C34</f>
        <v>OTROS ALQUILERES</v>
      </c>
      <c r="C38" s="100">
        <f>+SUMIF(Hoja4!$B$3:$B$164,$A38,Hoja4!$D$3:$D$164)</f>
        <v>4614556503</v>
      </c>
      <c r="D38" s="100">
        <f>+SUMIF(Hoja4!$B$3:$B$164,$A38,Hoja4!$E$3:$E$164)</f>
        <v>4614556503</v>
      </c>
      <c r="E38" s="100">
        <f>+SUMIF(Hoja4!$B$3:$B$164,$A38,Hoja4!$F$3:$F$164)</f>
        <v>0</v>
      </c>
      <c r="F38" s="100">
        <f>+SUMIF(Hoja4!$B$3:$B$164,$A38,Hoja4!$J$3:$J$164)</f>
        <v>4288361557.0599999</v>
      </c>
      <c r="G38" s="100">
        <f>+SUMIF(Hoja4!$B$3:$B$164,$A38,Hoja4!$K$3:$K$164)</f>
        <v>326194945.94</v>
      </c>
      <c r="H38" s="138">
        <f>+IFERROR(Hoja4!L34,0)</f>
        <v>0.92931174518549398</v>
      </c>
      <c r="I38" s="138">
        <f>+IFERROR(Hoja4!M34,0)</f>
        <v>7.0688254814506066E-2</v>
      </c>
    </row>
    <row r="39" spans="1:11" s="23" customFormat="1" x14ac:dyDescent="0.25">
      <c r="A39" s="71" t="str">
        <f>+Hoja4!B35</f>
        <v>E-102</v>
      </c>
      <c r="B39" s="102" t="str">
        <f>+Hoja4!C35</f>
        <v>SERVICIOS BÁSICOS</v>
      </c>
      <c r="C39" s="72">
        <f>SUM(C40:C44)</f>
        <v>5726578214</v>
      </c>
      <c r="D39" s="72">
        <f t="shared" ref="D39:G39" si="9">SUM(D40:D44)</f>
        <v>5726578214</v>
      </c>
      <c r="E39" s="72">
        <f t="shared" si="9"/>
        <v>0</v>
      </c>
      <c r="F39" s="72">
        <f t="shared" si="9"/>
        <v>5572041619</v>
      </c>
      <c r="G39" s="72">
        <f t="shared" si="9"/>
        <v>154536595</v>
      </c>
      <c r="H39" s="143">
        <f>+IFERROR(Hoja4!L35,0)</f>
        <v>0.97301414750222082</v>
      </c>
      <c r="I39" s="143">
        <f>+IFERROR(Hoja4!M35,0)</f>
        <v>2.6985852497779225E-2</v>
      </c>
      <c r="J39" s="128"/>
      <c r="K39" s="128">
        <f>+C39-Estado!C69</f>
        <v>0</v>
      </c>
    </row>
    <row r="40" spans="1:11" x14ac:dyDescent="0.25">
      <c r="A40" s="73" t="str">
        <f>+Hoja4!B36</f>
        <v>E-10201</v>
      </c>
      <c r="B40" s="103" t="str">
        <f>+Hoja4!C36</f>
        <v>SERV.AGUA Y ALCANT.</v>
      </c>
      <c r="C40" s="100">
        <f>+SUMIF(Hoja4!$B$3:$B$164,$A40,Hoja4!$D$3:$D$164)</f>
        <v>3100767700</v>
      </c>
      <c r="D40" s="100">
        <f>+SUMIF(Hoja4!$B$3:$B$164,$A40,Hoja4!$E$3:$E$164)</f>
        <v>3100767700</v>
      </c>
      <c r="E40" s="100">
        <f>+SUMIF(Hoja4!$B$3:$B$164,$A40,Hoja4!$F$3:$F$164)</f>
        <v>0</v>
      </c>
      <c r="F40" s="100">
        <f>+SUMIF(Hoja4!$B$3:$B$164,$A40,Hoja4!$J$3:$J$164)</f>
        <v>3099821335</v>
      </c>
      <c r="G40" s="100">
        <f>+SUMIF(Hoja4!$B$3:$B$164,$A40,Hoja4!$K$3:$K$164)</f>
        <v>946365</v>
      </c>
      <c r="H40" s="138">
        <f>+IFERROR(Hoja4!L36,0)</f>
        <v>0.99969479654989957</v>
      </c>
      <c r="I40" s="138">
        <f>+IFERROR(Hoja4!M36,0)</f>
        <v>3.0520345010043803E-4</v>
      </c>
    </row>
    <row r="41" spans="1:11" x14ac:dyDescent="0.25">
      <c r="A41" s="73" t="str">
        <f>+Hoja4!B37</f>
        <v>E-10202</v>
      </c>
      <c r="B41" s="103" t="str">
        <f>+Hoja4!C37</f>
        <v>SERV ENERGÍA ELÉCT</v>
      </c>
      <c r="C41" s="100">
        <f>+SUMIF(Hoja4!$B$3:$B$164,$A41,Hoja4!$D$3:$D$164)</f>
        <v>1540946000</v>
      </c>
      <c r="D41" s="100">
        <f>+SUMIF(Hoja4!$B$3:$B$164,$A41,Hoja4!$E$3:$E$164)</f>
        <v>1540946000</v>
      </c>
      <c r="E41" s="100">
        <f>+SUMIF(Hoja4!$B$3:$B$164,$A41,Hoja4!$F$3:$F$164)</f>
        <v>0</v>
      </c>
      <c r="F41" s="100">
        <f>+SUMIF(Hoja4!$B$3:$B$164,$A41,Hoja4!$J$3:$J$164)</f>
        <v>1529002220</v>
      </c>
      <c r="G41" s="100">
        <f>+SUMIF(Hoja4!$B$3:$B$164,$A41,Hoja4!$K$3:$K$164)</f>
        <v>11943780</v>
      </c>
      <c r="H41" s="138">
        <f>+IFERROR(Hoja4!L37,0)</f>
        <v>0.99224905999301727</v>
      </c>
      <c r="I41" s="138">
        <f>+IFERROR(Hoja4!M37,0)</f>
        <v>7.7509400069827239E-3</v>
      </c>
    </row>
    <row r="42" spans="1:11" x14ac:dyDescent="0.25">
      <c r="A42" s="73" t="str">
        <f>+Hoja4!B38</f>
        <v>E-10203</v>
      </c>
      <c r="B42" s="103" t="str">
        <f>+Hoja4!C38</f>
        <v>SERVICIO DE CORREO</v>
      </c>
      <c r="C42" s="100">
        <f>+SUMIF(Hoja4!$B$3:$B$164,$A42,Hoja4!$D$3:$D$164)</f>
        <v>16925000</v>
      </c>
      <c r="D42" s="100">
        <f>+SUMIF(Hoja4!$B$3:$B$164,$A42,Hoja4!$E$3:$E$164)</f>
        <v>16925000</v>
      </c>
      <c r="E42" s="100">
        <f>+SUMIF(Hoja4!$B$3:$B$164,$A42,Hoja4!$F$3:$F$164)</f>
        <v>0</v>
      </c>
      <c r="F42" s="100">
        <f>+SUMIF(Hoja4!$B$3:$B$164,$A42,Hoja4!$J$3:$J$164)</f>
        <v>6519560</v>
      </c>
      <c r="G42" s="100">
        <f>+SUMIF(Hoja4!$B$3:$B$164,$A42,Hoja4!$K$3:$K$164)</f>
        <v>10405440</v>
      </c>
      <c r="H42" s="138">
        <f>+IFERROR(Hoja4!L38,0)</f>
        <v>0.38520295420974887</v>
      </c>
      <c r="I42" s="138">
        <f>+IFERROR(Hoja4!M38,0)</f>
        <v>0.61479704579025107</v>
      </c>
    </row>
    <row r="43" spans="1:11" x14ac:dyDescent="0.25">
      <c r="A43" s="73" t="str">
        <f>+Hoja4!B39</f>
        <v>E-10204</v>
      </c>
      <c r="B43" s="103" t="str">
        <f>+Hoja4!C39</f>
        <v>SERV.TELECOMUNIC.</v>
      </c>
      <c r="C43" s="100">
        <f>+SUMIF(Hoja4!$B$3:$B$164,$A43,Hoja4!$D$3:$D$164)</f>
        <v>905797316</v>
      </c>
      <c r="D43" s="100">
        <f>+SUMIF(Hoja4!$B$3:$B$164,$A43,Hoja4!$E$3:$E$164)</f>
        <v>905797316</v>
      </c>
      <c r="E43" s="100">
        <f>+SUMIF(Hoja4!$B$3:$B$164,$A43,Hoja4!$F$3:$F$164)</f>
        <v>0</v>
      </c>
      <c r="F43" s="100">
        <f>+SUMIF(Hoja4!$B$3:$B$164,$A43,Hoja4!$J$3:$J$164)</f>
        <v>775851276.80000007</v>
      </c>
      <c r="G43" s="100">
        <f>+SUMIF(Hoja4!$B$3:$B$164,$A43,Hoja4!$K$3:$K$164)</f>
        <v>129946039.2</v>
      </c>
      <c r="H43" s="138">
        <f>+IFERROR(Hoja4!L39,0)</f>
        <v>0.85653960670380269</v>
      </c>
      <c r="I43" s="138">
        <f>+IFERROR(Hoja4!M39,0)</f>
        <v>0.14346039329619742</v>
      </c>
    </row>
    <row r="44" spans="1:11" x14ac:dyDescent="0.25">
      <c r="A44" s="73" t="str">
        <f>+Hoja4!B40</f>
        <v>E-10299</v>
      </c>
      <c r="B44" s="103" t="str">
        <f>+Hoja4!C40</f>
        <v>OTROS SERV.BÁSICOS</v>
      </c>
      <c r="C44" s="100">
        <f>+SUMIF(Hoja4!$B$3:$B$164,$A44,Hoja4!$D$3:$D$164)</f>
        <v>162142198</v>
      </c>
      <c r="D44" s="100">
        <f>+SUMIF(Hoja4!$B$3:$B$164,$A44,Hoja4!$E$3:$E$164)</f>
        <v>162142198</v>
      </c>
      <c r="E44" s="100">
        <f>+SUMIF(Hoja4!$B$3:$B$164,$A44,Hoja4!$F$3:$F$164)</f>
        <v>0</v>
      </c>
      <c r="F44" s="100">
        <f>+SUMIF(Hoja4!$B$3:$B$164,$A44,Hoja4!$J$3:$J$164)</f>
        <v>160847227.19999999</v>
      </c>
      <c r="G44" s="100">
        <f>+SUMIF(Hoja4!$B$3:$B$164,$A44,Hoja4!$K$3:$K$164)</f>
        <v>1294970.8</v>
      </c>
      <c r="H44" s="138">
        <f>+IFERROR(Hoja4!L40,0)</f>
        <v>0.99201336347987579</v>
      </c>
      <c r="I44" s="138">
        <f>+IFERROR(Hoja4!M40,0)</f>
        <v>7.9866365201241452E-3</v>
      </c>
    </row>
    <row r="45" spans="1:11" s="23" customFormat="1" x14ac:dyDescent="0.25">
      <c r="A45" s="71" t="str">
        <f>+Hoja4!B41</f>
        <v>E-103</v>
      </c>
      <c r="B45" s="102" t="str">
        <f>+Hoja4!C41</f>
        <v>SERV COMERC Y FINANC</v>
      </c>
      <c r="C45" s="72">
        <f>SUM(C46:C51)</f>
        <v>34353640</v>
      </c>
      <c r="D45" s="72">
        <f t="shared" ref="D45:G45" si="10">SUM(D46:D51)</f>
        <v>34353640</v>
      </c>
      <c r="E45" s="72">
        <f t="shared" si="10"/>
        <v>0</v>
      </c>
      <c r="F45" s="72">
        <f t="shared" si="10"/>
        <v>26507357.100000001</v>
      </c>
      <c r="G45" s="72">
        <f t="shared" si="10"/>
        <v>7846282.9000000004</v>
      </c>
      <c r="H45" s="143">
        <f>+IFERROR(Hoja4!L41,0)</f>
        <v>0.77160257544760913</v>
      </c>
      <c r="I45" s="143">
        <f>+IFERROR(Hoja4!M41,0)</f>
        <v>0.22839742455239095</v>
      </c>
      <c r="J45" s="128"/>
      <c r="K45" s="128">
        <f>+C45-Estado!C75</f>
        <v>0</v>
      </c>
    </row>
    <row r="46" spans="1:11" x14ac:dyDescent="0.25">
      <c r="A46" s="73" t="str">
        <f>+Hoja4!B42</f>
        <v>E-10301</v>
      </c>
      <c r="B46" s="103" t="str">
        <f>+Hoja4!C42</f>
        <v>INFORMACIÓN</v>
      </c>
      <c r="C46" s="100">
        <f>+SUMIF(Hoja4!$B$3:$B$164,$A46,Hoja4!$D$3:$D$164)</f>
        <v>15951680</v>
      </c>
      <c r="D46" s="100">
        <f>+SUMIF(Hoja4!$B$3:$B$164,$A46,Hoja4!$E$3:$E$164)</f>
        <v>15951680</v>
      </c>
      <c r="E46" s="100">
        <f>+SUMIF(Hoja4!$B$3:$B$164,$A46,Hoja4!$F$3:$F$164)</f>
        <v>0</v>
      </c>
      <c r="F46" s="100">
        <f>+SUMIF(Hoja4!$B$3:$B$164,$A46,Hoja4!$J$3:$J$164)</f>
        <v>15130581</v>
      </c>
      <c r="G46" s="100">
        <f>+SUMIF(Hoja4!$B$3:$B$164,$A46,Hoja4!$K$3:$K$164)</f>
        <v>821099</v>
      </c>
      <c r="H46" s="138">
        <f>+IFERROR(Hoja4!L42,0)</f>
        <v>0.94852586059900901</v>
      </c>
      <c r="I46" s="138">
        <f>+IFERROR(Hoja4!M42,0)</f>
        <v>5.1474139400990992E-2</v>
      </c>
    </row>
    <row r="47" spans="1:11" x14ac:dyDescent="0.25">
      <c r="A47" s="73" t="str">
        <f>+Hoja4!B43</f>
        <v>E-10302</v>
      </c>
      <c r="B47" s="103" t="str">
        <f>+Hoja4!C43</f>
        <v>PUBLICIDAD Y PROPAG.</v>
      </c>
      <c r="C47" s="100">
        <f>+SUMIF(Hoja4!$B$3:$B$164,$A47,Hoja4!$D$3:$D$164)</f>
        <v>97250</v>
      </c>
      <c r="D47" s="100">
        <f>+SUMIF(Hoja4!$B$3:$B$164,$A47,Hoja4!$E$3:$E$164)</f>
        <v>97250</v>
      </c>
      <c r="E47" s="100">
        <f>+SUMIF(Hoja4!$B$3:$B$164,$A47,Hoja4!$F$3:$F$164)</f>
        <v>0</v>
      </c>
      <c r="F47" s="100">
        <f>+SUMIF(Hoja4!$B$3:$B$164,$A47,Hoja4!$J$3:$J$164)</f>
        <v>97250</v>
      </c>
      <c r="G47" s="100">
        <f>+SUMIF(Hoja4!$B$3:$B$164,$A47,Hoja4!$K$3:$K$164)</f>
        <v>0</v>
      </c>
      <c r="H47" s="138">
        <f>+IFERROR(Hoja4!L43,0)</f>
        <v>1</v>
      </c>
      <c r="I47" s="138">
        <f>+IFERROR(Hoja4!M43,0)</f>
        <v>0</v>
      </c>
    </row>
    <row r="48" spans="1:11" x14ac:dyDescent="0.25">
      <c r="A48" s="73" t="str">
        <f>+Hoja4!B44</f>
        <v>E-10303</v>
      </c>
      <c r="B48" s="103" t="str">
        <f>+Hoja4!C44</f>
        <v>IMP., ENCUAD Y OTROS</v>
      </c>
      <c r="C48" s="100">
        <f>+SUMIF(Hoja4!$B$3:$B$164,$A48,Hoja4!$D$3:$D$164)</f>
        <v>12905710</v>
      </c>
      <c r="D48" s="100">
        <f>+SUMIF(Hoja4!$B$3:$B$164,$A48,Hoja4!$E$3:$E$164)</f>
        <v>12905710</v>
      </c>
      <c r="E48" s="100">
        <f>+SUMIF(Hoja4!$B$3:$B$164,$A48,Hoja4!$F$3:$F$164)</f>
        <v>0</v>
      </c>
      <c r="F48" s="100">
        <f>+SUMIF(Hoja4!$B$3:$B$164,$A48,Hoja4!$J$3:$J$164)</f>
        <v>9725600</v>
      </c>
      <c r="G48" s="100">
        <f>+SUMIF(Hoja4!$B$3:$B$164,$A48,Hoja4!$K$3:$K$164)</f>
        <v>3180110</v>
      </c>
      <c r="H48" s="138">
        <f>+IFERROR(Hoja4!L44,0)</f>
        <v>0.75358891529408301</v>
      </c>
      <c r="I48" s="138">
        <f>+IFERROR(Hoja4!M44,0)</f>
        <v>0.24641108470591699</v>
      </c>
    </row>
    <row r="49" spans="1:11" x14ac:dyDescent="0.25">
      <c r="A49" s="73" t="str">
        <f>+Hoja4!B45</f>
        <v>E-10304</v>
      </c>
      <c r="B49" s="103" t="str">
        <f>+Hoja4!C45</f>
        <v>TRANSPORTE DE BIENES</v>
      </c>
      <c r="C49" s="100">
        <f>+SUMIF(Hoja4!$B$3:$B$164,$A49,Hoja4!$D$3:$D$164)</f>
        <v>600000</v>
      </c>
      <c r="D49" s="100">
        <f>+SUMIF(Hoja4!$B$3:$B$164,$A49,Hoja4!$E$3:$E$164)</f>
        <v>600000</v>
      </c>
      <c r="E49" s="100">
        <f>+SUMIF(Hoja4!$B$3:$B$164,$A49,Hoja4!$F$3:$F$164)</f>
        <v>0</v>
      </c>
      <c r="F49" s="100">
        <f>+SUMIF(Hoja4!$B$3:$B$164,$A49,Hoja4!$J$3:$J$164)</f>
        <v>0</v>
      </c>
      <c r="G49" s="100">
        <f>+SUMIF(Hoja4!$B$3:$B$164,$A49,Hoja4!$K$3:$K$164)</f>
        <v>600000</v>
      </c>
      <c r="H49" s="138">
        <f>+IFERROR(Hoja4!L45,0)</f>
        <v>0</v>
      </c>
      <c r="I49" s="138">
        <f>+IFERROR(Hoja4!M45,0)</f>
        <v>1</v>
      </c>
    </row>
    <row r="50" spans="1:11" x14ac:dyDescent="0.25">
      <c r="A50" s="73" t="str">
        <f>+Hoja4!B46</f>
        <v>E-10306</v>
      </c>
      <c r="B50" s="103" t="str">
        <f>+Hoja4!C46</f>
        <v>COM G.P.S.FIN Y COM.</v>
      </c>
      <c r="C50" s="100">
        <f>+SUMIF(Hoja4!$B$3:$B$164,$A50,Hoja4!$D$3:$D$164)</f>
        <v>250000</v>
      </c>
      <c r="D50" s="100">
        <f>+SUMIF(Hoja4!$B$3:$B$164,$A50,Hoja4!$E$3:$E$164)</f>
        <v>250000</v>
      </c>
      <c r="E50" s="100">
        <f>+SUMIF(Hoja4!$B$3:$B$164,$A50,Hoja4!$F$3:$F$164)</f>
        <v>0</v>
      </c>
      <c r="F50" s="100">
        <f>+SUMIF(Hoja4!$B$3:$B$164,$A50,Hoja4!$J$3:$J$164)</f>
        <v>157994</v>
      </c>
      <c r="G50" s="100">
        <f>+SUMIF(Hoja4!$B$3:$B$164,$A50,Hoja4!$K$3:$K$164)</f>
        <v>92006</v>
      </c>
      <c r="H50" s="138">
        <f>+IFERROR(Hoja4!L46,0)</f>
        <v>0.63197599999999998</v>
      </c>
      <c r="I50" s="138">
        <f>+IFERROR(Hoja4!M46,0)</f>
        <v>0.36802400000000002</v>
      </c>
    </row>
    <row r="51" spans="1:11" x14ac:dyDescent="0.25">
      <c r="A51" s="73" t="str">
        <f>+Hoja4!B47</f>
        <v>E-10307</v>
      </c>
      <c r="B51" s="103" t="str">
        <f>+Hoja4!C47</f>
        <v>SERV TRANSF.ELEC.INF</v>
      </c>
      <c r="C51" s="100">
        <f>+SUMIF(Hoja4!$B$3:$B$164,$A51,Hoja4!$D$3:$D$164)</f>
        <v>4549000</v>
      </c>
      <c r="D51" s="100">
        <f>+SUMIF(Hoja4!$B$3:$B$164,$A51,Hoja4!$E$3:$E$164)</f>
        <v>4549000</v>
      </c>
      <c r="E51" s="100">
        <f>+SUMIF(Hoja4!$B$3:$B$164,$A51,Hoja4!$F$3:$F$164)</f>
        <v>0</v>
      </c>
      <c r="F51" s="100">
        <f>+SUMIF(Hoja4!$B$3:$B$164,$A51,Hoja4!$J$3:$J$164)</f>
        <v>1395932.1</v>
      </c>
      <c r="G51" s="100">
        <f>+SUMIF(Hoja4!$B$3:$B$164,$A51,Hoja4!$K$3:$K$164)</f>
        <v>3153067.9</v>
      </c>
      <c r="H51" s="138">
        <f>+IFERROR(Hoja4!L47,0)</f>
        <v>0.30686570674873603</v>
      </c>
      <c r="I51" s="138">
        <f>+IFERROR(Hoja4!M47,0)</f>
        <v>0.69313429325126397</v>
      </c>
    </row>
    <row r="52" spans="1:11" s="23" customFormat="1" x14ac:dyDescent="0.25">
      <c r="A52" s="71" t="str">
        <f>+Hoja4!B48</f>
        <v>E-104</v>
      </c>
      <c r="B52" s="102" t="str">
        <f>+Hoja4!C48</f>
        <v>SERV DE GEST Y APOYO</v>
      </c>
      <c r="C52" s="72">
        <f>SUM(C53:C59)</f>
        <v>1082824093</v>
      </c>
      <c r="D52" s="72">
        <f t="shared" ref="D52:G52" si="11">SUM(D53:D59)</f>
        <v>1082824093</v>
      </c>
      <c r="E52" s="72">
        <f t="shared" si="11"/>
        <v>0</v>
      </c>
      <c r="F52" s="72">
        <f t="shared" si="11"/>
        <v>906821063.04999995</v>
      </c>
      <c r="G52" s="72">
        <f t="shared" si="11"/>
        <v>176003029.94999999</v>
      </c>
      <c r="H52" s="143">
        <f>+IFERROR(Hoja4!L48,0)</f>
        <v>0.83745925946071464</v>
      </c>
      <c r="I52" s="143">
        <f>+IFERROR(Hoja4!M48,0)</f>
        <v>0.16254074053928536</v>
      </c>
      <c r="J52" s="128"/>
      <c r="K52" s="128">
        <f>+C52-Estado!C82</f>
        <v>0</v>
      </c>
    </row>
    <row r="53" spans="1:11" x14ac:dyDescent="0.25">
      <c r="A53" s="73" t="str">
        <f>+Hoja4!B49</f>
        <v>E-10401</v>
      </c>
      <c r="B53" s="103" t="str">
        <f>+Hoja4!C49</f>
        <v>SERV.MEDICOS YDE LAB</v>
      </c>
      <c r="C53" s="100">
        <f>+SUMIF(Hoja4!$B$3:$B$164,$A53,Hoja4!$D$3:$D$164)</f>
        <v>24045000</v>
      </c>
      <c r="D53" s="100">
        <f>+SUMIF(Hoja4!$B$3:$B$164,$A53,Hoja4!$E$3:$E$164)</f>
        <v>24045000</v>
      </c>
      <c r="E53" s="100">
        <f>+SUMIF(Hoja4!$B$3:$B$164,$A53,Hoja4!$F$3:$F$164)</f>
        <v>0</v>
      </c>
      <c r="F53" s="100">
        <f>+SUMIF(Hoja4!$B$3:$B$164,$A53,Hoja4!$J$3:$J$164)</f>
        <v>21961056</v>
      </c>
      <c r="G53" s="100">
        <f>+SUMIF(Hoja4!$B$3:$B$164,$A53,Hoja4!$K$3:$K$164)</f>
        <v>2083944</v>
      </c>
      <c r="H53" s="138">
        <f>+IFERROR(Hoja4!L49,0)</f>
        <v>0.91333150343106673</v>
      </c>
      <c r="I53" s="138">
        <f>+IFERROR(Hoja4!M49,0)</f>
        <v>8.6668496568933245E-2</v>
      </c>
    </row>
    <row r="54" spans="1:11" x14ac:dyDescent="0.25">
      <c r="A54" s="73" t="str">
        <f>+Hoja4!B50</f>
        <v>E-10402</v>
      </c>
      <c r="B54" s="103" t="str">
        <f>+Hoja4!C50</f>
        <v>SERVICIOS JURÍDICOS</v>
      </c>
      <c r="C54" s="100">
        <f>+SUMIF(Hoja4!$B$3:$B$164,$A54,Hoja4!$D$3:$D$164)</f>
        <v>1000000</v>
      </c>
      <c r="D54" s="100">
        <f>+SUMIF(Hoja4!$B$3:$B$164,$A54,Hoja4!$E$3:$E$164)</f>
        <v>1000000</v>
      </c>
      <c r="E54" s="100">
        <f>+SUMIF(Hoja4!$B$3:$B$164,$A54,Hoja4!$F$3:$F$164)</f>
        <v>0</v>
      </c>
      <c r="F54" s="100">
        <f>+SUMIF(Hoja4!$B$3:$B$164,$A54,Hoja4!$J$3:$J$164)</f>
        <v>18275</v>
      </c>
      <c r="G54" s="100">
        <f>+SUMIF(Hoja4!$B$3:$B$164,$A54,Hoja4!$K$3:$K$164)</f>
        <v>981725</v>
      </c>
      <c r="H54" s="138">
        <f>+IFERROR(Hoja4!L50,0)</f>
        <v>1.8275E-2</v>
      </c>
      <c r="I54" s="138">
        <f>+IFERROR(Hoja4!M50,0)</f>
        <v>0.98172499999999996</v>
      </c>
    </row>
    <row r="55" spans="1:11" x14ac:dyDescent="0.25">
      <c r="A55" s="73" t="str">
        <f>+Hoja4!B51</f>
        <v>E-10403</v>
      </c>
      <c r="B55" s="103" t="str">
        <f>+Hoja4!C51</f>
        <v>SERV. DE INGENIERÍA</v>
      </c>
      <c r="C55" s="100">
        <f>+SUMIF(Hoja4!$B$3:$B$164,$A55,Hoja4!$D$3:$D$164)</f>
        <v>471056885</v>
      </c>
      <c r="D55" s="100">
        <f>+SUMIF(Hoja4!$B$3:$B$164,$A55,Hoja4!$E$3:$E$164)</f>
        <v>471056885</v>
      </c>
      <c r="E55" s="100">
        <f>+SUMIF(Hoja4!$B$3:$B$164,$A55,Hoja4!$F$3:$F$164)</f>
        <v>0</v>
      </c>
      <c r="F55" s="100">
        <f>+SUMIF(Hoja4!$B$3:$B$164,$A55,Hoja4!$J$3:$J$164)</f>
        <v>406513572.47000003</v>
      </c>
      <c r="G55" s="100">
        <f>+SUMIF(Hoja4!$B$3:$B$164,$A55,Hoja4!$K$3:$K$164)</f>
        <v>64543312.530000001</v>
      </c>
      <c r="H55" s="138">
        <f>+IFERROR(Hoja4!L51,0)</f>
        <v>0.8629819145303439</v>
      </c>
      <c r="I55" s="138">
        <f>+IFERROR(Hoja4!M51,0)</f>
        <v>0.13701808546965619</v>
      </c>
    </row>
    <row r="56" spans="1:11" x14ac:dyDescent="0.25">
      <c r="A56" s="73" t="str">
        <f>+Hoja4!B52</f>
        <v>E-10404</v>
      </c>
      <c r="B56" s="103" t="str">
        <f>+Hoja4!C52</f>
        <v>SERV.CIEN.ECON.Y SOC</v>
      </c>
      <c r="C56" s="100">
        <f>+SUMIF(Hoja4!$B$3:$B$164,$A56,Hoja4!$D$3:$D$164)</f>
        <v>0</v>
      </c>
      <c r="D56" s="100">
        <f>+SUMIF(Hoja4!$B$3:$B$164,$A56,Hoja4!$E$3:$E$164)</f>
        <v>0</v>
      </c>
      <c r="E56" s="100">
        <f>+SUMIF(Hoja4!$B$3:$B$164,$A56,Hoja4!$F$3:$F$164)</f>
        <v>0</v>
      </c>
      <c r="F56" s="100">
        <f>+SUMIF(Hoja4!$B$3:$B$164,$A56,Hoja4!$J$3:$J$164)</f>
        <v>0</v>
      </c>
      <c r="G56" s="100">
        <f>+SUMIF(Hoja4!$B$3:$B$164,$A56,Hoja4!$K$3:$K$164)</f>
        <v>0</v>
      </c>
      <c r="H56" s="138">
        <f>+IFERROR(Hoja4!L52,0)</f>
        <v>0</v>
      </c>
      <c r="I56" s="138">
        <f>+IFERROR(Hoja4!M52,0)</f>
        <v>0</v>
      </c>
    </row>
    <row r="57" spans="1:11" x14ac:dyDescent="0.25">
      <c r="A57" s="73" t="str">
        <f>+Hoja4!B53</f>
        <v>E-10405</v>
      </c>
      <c r="B57" s="103" t="str">
        <f>+Hoja4!C53</f>
        <v>SERV.DES.SIST.INFORM</v>
      </c>
      <c r="C57" s="100">
        <f>+SUMIF(Hoja4!$B$3:$B$164,$A57,Hoja4!$D$3:$D$164)</f>
        <v>0</v>
      </c>
      <c r="D57" s="100">
        <f>+SUMIF(Hoja4!$B$3:$B$164,$A57,Hoja4!$E$3:$E$164)</f>
        <v>0</v>
      </c>
      <c r="E57" s="100">
        <f>+SUMIF(Hoja4!$B$3:$B$164,$A57,Hoja4!$F$3:$F$164)</f>
        <v>0</v>
      </c>
      <c r="F57" s="100">
        <f>+SUMIF(Hoja4!$B$3:$B$164,$A57,Hoja4!$J$3:$J$164)</f>
        <v>0</v>
      </c>
      <c r="G57" s="100">
        <f>+SUMIF(Hoja4!$B$3:$B$164,$A57,Hoja4!$K$3:$K$164)</f>
        <v>0</v>
      </c>
      <c r="H57" s="138">
        <f>+IFERROR(Hoja4!L53,0)</f>
        <v>0</v>
      </c>
      <c r="I57" s="138">
        <f>+IFERROR(Hoja4!M53,0)</f>
        <v>0</v>
      </c>
    </row>
    <row r="58" spans="1:11" x14ac:dyDescent="0.25">
      <c r="A58" s="73" t="str">
        <f>+Hoja4!B54</f>
        <v>E-10406</v>
      </c>
      <c r="B58" s="103" t="str">
        <f>+Hoja4!C54</f>
        <v>SERVICIOS GENERALES</v>
      </c>
      <c r="C58" s="100">
        <f>+SUMIF(Hoja4!$B$3:$B$164,$A58,Hoja4!$D$3:$D$164)</f>
        <v>484796875</v>
      </c>
      <c r="D58" s="100">
        <f>+SUMIF(Hoja4!$B$3:$B$164,$A58,Hoja4!$E$3:$E$164)</f>
        <v>484796875</v>
      </c>
      <c r="E58" s="100">
        <f>+SUMIF(Hoja4!$B$3:$B$164,$A58,Hoja4!$F$3:$F$164)</f>
        <v>0</v>
      </c>
      <c r="F58" s="100">
        <f>+SUMIF(Hoja4!$B$3:$B$164,$A58,Hoja4!$J$3:$J$164)</f>
        <v>428405439.54000002</v>
      </c>
      <c r="G58" s="100">
        <f>+SUMIF(Hoja4!$B$3:$B$164,$A58,Hoja4!$K$3:$K$164)</f>
        <v>56391435.459999993</v>
      </c>
      <c r="H58" s="138">
        <f>+IFERROR(Hoja4!L54,0)</f>
        <v>0.88368028267508947</v>
      </c>
      <c r="I58" s="138">
        <f>+IFERROR(Hoja4!M54,0)</f>
        <v>0.11631971732491055</v>
      </c>
    </row>
    <row r="59" spans="1:11" x14ac:dyDescent="0.25">
      <c r="A59" s="73" t="str">
        <f>+Hoja4!B55</f>
        <v>E-10499</v>
      </c>
      <c r="B59" s="103" t="str">
        <f>+Hoja4!C55</f>
        <v>OTROS SERV.GEST.APOY</v>
      </c>
      <c r="C59" s="100">
        <f>+SUMIF(Hoja4!$B$3:$B$164,$A59,Hoja4!$D$3:$D$164)</f>
        <v>101925333</v>
      </c>
      <c r="D59" s="100">
        <f>+SUMIF(Hoja4!$B$3:$B$164,$A59,Hoja4!$E$3:$E$164)</f>
        <v>101925333</v>
      </c>
      <c r="E59" s="100">
        <f>+SUMIF(Hoja4!$B$3:$B$164,$A59,Hoja4!$F$3:$F$164)</f>
        <v>0</v>
      </c>
      <c r="F59" s="100">
        <f>+SUMIF(Hoja4!$B$3:$B$164,$A59,Hoja4!$J$3:$J$164)</f>
        <v>49922720.039999999</v>
      </c>
      <c r="G59" s="100">
        <f>+SUMIF(Hoja4!$B$3:$B$164,$A59,Hoja4!$K$3:$K$164)</f>
        <v>52002612.960000001</v>
      </c>
      <c r="H59" s="138">
        <f>+IFERROR(Hoja4!L55,0)</f>
        <v>0.48979697755807183</v>
      </c>
      <c r="I59" s="138">
        <f>+IFERROR(Hoja4!M55,0)</f>
        <v>0.51020302244192817</v>
      </c>
    </row>
    <row r="60" spans="1:11" s="23" customFormat="1" x14ac:dyDescent="0.25">
      <c r="A60" s="71" t="str">
        <f>+Hoja4!B56</f>
        <v>E-105</v>
      </c>
      <c r="B60" s="102" t="str">
        <f>+Hoja4!C56</f>
        <v>GAST. VIAJE Y TRANSP</v>
      </c>
      <c r="C60" s="72">
        <f>SUM(C61:C64)</f>
        <v>234621038.32000002</v>
      </c>
      <c r="D60" s="72">
        <f t="shared" ref="D60:G60" si="12">SUM(D61:D64)</f>
        <v>234621038.32000002</v>
      </c>
      <c r="E60" s="72">
        <f t="shared" si="12"/>
        <v>0</v>
      </c>
      <c r="F60" s="72">
        <f t="shared" si="12"/>
        <v>213575353.28999999</v>
      </c>
      <c r="G60" s="72">
        <f t="shared" si="12"/>
        <v>21045685.030000001</v>
      </c>
      <c r="H60" s="143">
        <f>+IFERROR(Hoja4!L56,0)</f>
        <v>0.91029924178710797</v>
      </c>
      <c r="I60" s="143">
        <f>+IFERROR(Hoja4!M56,0)</f>
        <v>8.9700758212892057E-2</v>
      </c>
      <c r="J60" s="128"/>
      <c r="K60" s="128">
        <f>+C60-Estado!C90</f>
        <v>0</v>
      </c>
    </row>
    <row r="61" spans="1:11" x14ac:dyDescent="0.25">
      <c r="A61" s="73" t="str">
        <f>+Hoja4!B57</f>
        <v>E-10501</v>
      </c>
      <c r="B61" s="103" t="str">
        <f>+Hoja4!C57</f>
        <v>TRANSP.DENT.DEL PAÍS</v>
      </c>
      <c r="C61" s="100">
        <f>+SUMIF(Hoja4!$B$3:$B$164,$A61,Hoja4!$D$3:$D$164)</f>
        <v>10868000</v>
      </c>
      <c r="D61" s="100">
        <f>+SUMIF(Hoja4!$B$3:$B$164,$A61,Hoja4!$E$3:$E$164)</f>
        <v>10868000</v>
      </c>
      <c r="E61" s="100">
        <f>+SUMIF(Hoja4!$B$3:$B$164,$A61,Hoja4!$F$3:$F$164)</f>
        <v>0</v>
      </c>
      <c r="F61" s="100">
        <f>+SUMIF(Hoja4!$B$3:$B$164,$A61,Hoja4!$J$3:$J$164)</f>
        <v>10128265</v>
      </c>
      <c r="G61" s="100">
        <f>+SUMIF(Hoja4!$B$3:$B$164,$A61,Hoja4!$K$3:$K$164)</f>
        <v>739735</v>
      </c>
      <c r="H61" s="138">
        <f>+IFERROR(Hoja4!L57,0)</f>
        <v>0.93193457857931539</v>
      </c>
      <c r="I61" s="138">
        <f>+IFERROR(Hoja4!M57,0)</f>
        <v>6.8065421420684585E-2</v>
      </c>
    </row>
    <row r="62" spans="1:11" x14ac:dyDescent="0.25">
      <c r="A62" s="73" t="str">
        <f>+Hoja4!B58</f>
        <v>E-10502</v>
      </c>
      <c r="B62" s="103" t="str">
        <f>+Hoja4!C58</f>
        <v>VIÁTICOS DENTRO PAÍS</v>
      </c>
      <c r="C62" s="100">
        <f>+SUMIF(Hoja4!$B$3:$B$164,$A62,Hoja4!$D$3:$D$164)</f>
        <v>200488600</v>
      </c>
      <c r="D62" s="100">
        <f>+SUMIF(Hoja4!$B$3:$B$164,$A62,Hoja4!$E$3:$E$164)</f>
        <v>200488600</v>
      </c>
      <c r="E62" s="100">
        <f>+SUMIF(Hoja4!$B$3:$B$164,$A62,Hoja4!$F$3:$F$164)</f>
        <v>0</v>
      </c>
      <c r="F62" s="100">
        <f>+SUMIF(Hoja4!$B$3:$B$164,$A62,Hoja4!$J$3:$J$164)</f>
        <v>187463475</v>
      </c>
      <c r="G62" s="100">
        <f>+SUMIF(Hoja4!$B$3:$B$164,$A62,Hoja4!$K$3:$K$164)</f>
        <v>13025125</v>
      </c>
      <c r="H62" s="138">
        <f>+IFERROR(Hoja4!L58,0)</f>
        <v>0.9350330891631744</v>
      </c>
      <c r="I62" s="138">
        <f>+IFERROR(Hoja4!M58,0)</f>
        <v>6.4966910836825639E-2</v>
      </c>
    </row>
    <row r="63" spans="1:11" x14ac:dyDescent="0.25">
      <c r="A63" s="73" t="str">
        <f>+Hoja4!B59</f>
        <v>E-10503</v>
      </c>
      <c r="B63" s="103" t="str">
        <f>+Hoja4!C59</f>
        <v>TRANSPORTE EN EL EXT</v>
      </c>
      <c r="C63" s="100">
        <f>+SUMIF(Hoja4!$B$3:$B$164,$A63,Hoja4!$D$3:$D$164)</f>
        <v>9070123.0199999996</v>
      </c>
      <c r="D63" s="100">
        <f>+SUMIF(Hoja4!$B$3:$B$164,$A63,Hoja4!$E$3:$E$164)</f>
        <v>9070123.0199999996</v>
      </c>
      <c r="E63" s="100">
        <f>+SUMIF(Hoja4!$B$3:$B$164,$A63,Hoja4!$F$3:$F$164)</f>
        <v>0</v>
      </c>
      <c r="F63" s="100">
        <f>+SUMIF(Hoja4!$B$3:$B$164,$A63,Hoja4!$J$3:$J$164)</f>
        <v>6198073.4500000002</v>
      </c>
      <c r="G63" s="100">
        <f>+SUMIF(Hoja4!$B$3:$B$164,$A63,Hoja4!$K$3:$K$164)</f>
        <v>2872049.57</v>
      </c>
      <c r="H63" s="138">
        <f>+IFERROR(Hoja4!L59,0)</f>
        <v>0.68335053850239846</v>
      </c>
      <c r="I63" s="138">
        <f>+IFERROR(Hoja4!M59,0)</f>
        <v>0.31664946149760159</v>
      </c>
    </row>
    <row r="64" spans="1:11" x14ac:dyDescent="0.25">
      <c r="A64" s="73" t="str">
        <f>+Hoja4!B60</f>
        <v>E-10504</v>
      </c>
      <c r="B64" s="103" t="str">
        <f>+Hoja4!C60</f>
        <v>VIÁTICOS EN EXTERIOR</v>
      </c>
      <c r="C64" s="100">
        <f>+SUMIF(Hoja4!$B$3:$B$164,$A64,Hoja4!$D$3:$D$164)</f>
        <v>14194315.300000001</v>
      </c>
      <c r="D64" s="100">
        <f>+SUMIF(Hoja4!$B$3:$B$164,$A64,Hoja4!$E$3:$E$164)</f>
        <v>14194315.300000001</v>
      </c>
      <c r="E64" s="100">
        <f>+SUMIF(Hoja4!$B$3:$B$164,$A64,Hoja4!$F$3:$F$164)</f>
        <v>0</v>
      </c>
      <c r="F64" s="100">
        <f>+SUMIF(Hoja4!$B$3:$B$164,$A64,Hoja4!$J$3:$J$164)</f>
        <v>9785539.8399999999</v>
      </c>
      <c r="G64" s="100">
        <f>+SUMIF(Hoja4!$B$3:$B$164,$A64,Hoja4!$K$3:$K$164)</f>
        <v>4408775.46</v>
      </c>
      <c r="H64" s="138">
        <f>+IFERROR(Hoja4!L60,0)</f>
        <v>0.68939851152947118</v>
      </c>
      <c r="I64" s="138">
        <f>+IFERROR(Hoja4!M60,0)</f>
        <v>0.31060148847052876</v>
      </c>
    </row>
    <row r="65" spans="1:11" s="23" customFormat="1" x14ac:dyDescent="0.25">
      <c r="A65" s="71" t="str">
        <f>+Hoja4!B61</f>
        <v>E-106</v>
      </c>
      <c r="B65" s="102" t="str">
        <f>+Hoja4!C61</f>
        <v>SEGUROS REASEG Y OTR</v>
      </c>
      <c r="C65" s="72">
        <f>SUM(C66:C67)</f>
        <v>1566930000</v>
      </c>
      <c r="D65" s="72">
        <f t="shared" ref="D65:G65" si="13">SUM(D66:D67)</f>
        <v>1566930000</v>
      </c>
      <c r="E65" s="72">
        <f t="shared" si="13"/>
        <v>0</v>
      </c>
      <c r="F65" s="72">
        <f t="shared" si="13"/>
        <v>1342105975.5999999</v>
      </c>
      <c r="G65" s="72">
        <f t="shared" si="13"/>
        <v>224824024.40000001</v>
      </c>
      <c r="H65" s="143">
        <f>+IFERROR(Hoja4!L61,0)</f>
        <v>0.85651942052293328</v>
      </c>
      <c r="I65" s="143">
        <f>+IFERROR(Hoja4!M61,0)</f>
        <v>0.14348057947706663</v>
      </c>
      <c r="J65" s="128"/>
      <c r="K65" s="128">
        <f>+C65-Estado!C95</f>
        <v>0</v>
      </c>
    </row>
    <row r="66" spans="1:11" x14ac:dyDescent="0.25">
      <c r="A66" s="73" t="str">
        <f>+Hoja4!B62</f>
        <v>E-10601</v>
      </c>
      <c r="B66" s="103" t="str">
        <f>+Hoja4!C62</f>
        <v>SEGUROS</v>
      </c>
      <c r="C66" s="100">
        <f>+SUMIF(Hoja4!$B$3:$B$164,$A66,Hoja4!$D$3:$D$164)</f>
        <v>1566930000</v>
      </c>
      <c r="D66" s="100">
        <f>+SUMIF(Hoja4!$B$3:$B$164,$A66,Hoja4!$E$3:$E$164)</f>
        <v>1566930000</v>
      </c>
      <c r="E66" s="100">
        <f>+SUMIF(Hoja4!$B$3:$B$164,$A66,Hoja4!$F$3:$F$164)</f>
        <v>0</v>
      </c>
      <c r="F66" s="100">
        <f>+SUMIF(Hoja4!$B$3:$B$164,$A66,Hoja4!$J$3:$J$164)</f>
        <v>1342105975.5999999</v>
      </c>
      <c r="G66" s="100">
        <f>+SUMIF(Hoja4!$B$3:$B$164,$A66,Hoja4!$K$3:$K$164)</f>
        <v>224824024.40000001</v>
      </c>
      <c r="H66" s="138">
        <f>+IFERROR(Hoja4!L62,0)</f>
        <v>0.85651942052293328</v>
      </c>
      <c r="I66" s="138">
        <f>+IFERROR(Hoja4!M62,0)</f>
        <v>0.14348057947706663</v>
      </c>
    </row>
    <row r="67" spans="1:11" x14ac:dyDescent="0.25">
      <c r="A67" s="73" t="str">
        <f>+Hoja4!B63</f>
        <v>E-10602</v>
      </c>
      <c r="B67" s="103" t="str">
        <f>+Hoja4!C63</f>
        <v>REASEGUROS</v>
      </c>
      <c r="C67" s="100">
        <f>+SUMIF(Hoja4!$B$3:$B$164,$A67,Hoja4!$D$3:$D$164)</f>
        <v>0</v>
      </c>
      <c r="D67" s="100">
        <f>+SUMIF(Hoja4!$B$3:$B$164,$A67,Hoja4!$E$3:$E$164)</f>
        <v>0</v>
      </c>
      <c r="E67" s="100">
        <f>+SUMIF(Hoja4!$B$3:$B$164,$A67,Hoja4!$F$3:$F$164)</f>
        <v>0</v>
      </c>
      <c r="F67" s="100">
        <f>+SUMIF(Hoja4!$B$3:$B$164,$A67,Hoja4!$J$3:$J$164)</f>
        <v>0</v>
      </c>
      <c r="G67" s="100">
        <f>+SUMIF(Hoja4!$B$3:$B$164,$A67,Hoja4!$K$3:$K$164)</f>
        <v>0</v>
      </c>
      <c r="H67" s="138">
        <f>+IFERROR(Hoja4!L63,0)</f>
        <v>0</v>
      </c>
      <c r="I67" s="138">
        <f>+IFERROR(Hoja4!M63,0)</f>
        <v>0</v>
      </c>
    </row>
    <row r="68" spans="1:11" s="23" customFormat="1" x14ac:dyDescent="0.25">
      <c r="A68" s="71" t="str">
        <f>+Hoja4!B64</f>
        <v>E-107</v>
      </c>
      <c r="B68" s="102" t="str">
        <f>+Hoja4!C64</f>
        <v>CAPACIT. Y PROTOCOLO</v>
      </c>
      <c r="C68" s="72">
        <f>SUM(C69:C71)</f>
        <v>26838000</v>
      </c>
      <c r="D68" s="72">
        <f t="shared" ref="D68:G68" si="14">SUM(D69:D71)</f>
        <v>26838000</v>
      </c>
      <c r="E68" s="72">
        <f t="shared" si="14"/>
        <v>0</v>
      </c>
      <c r="F68" s="72">
        <f t="shared" si="14"/>
        <v>25531001.859999999</v>
      </c>
      <c r="G68" s="72">
        <f t="shared" si="14"/>
        <v>1306998.1400000001</v>
      </c>
      <c r="H68" s="143">
        <f>+IFERROR(Hoja4!L64,0)</f>
        <v>0.95130046426708392</v>
      </c>
      <c r="I68" s="143">
        <f>+IFERROR(Hoja4!M64,0)</f>
        <v>4.8699535732916008E-2</v>
      </c>
      <c r="J68" s="128"/>
      <c r="K68" s="128"/>
    </row>
    <row r="69" spans="1:11" x14ac:dyDescent="0.25">
      <c r="A69" s="73" t="str">
        <f>+Hoja4!B65</f>
        <v>E-10701</v>
      </c>
      <c r="B69" s="103" t="str">
        <f>+Hoja4!C65</f>
        <v>ACTIV. CAPACITACIÓN</v>
      </c>
      <c r="C69" s="100">
        <f>+SUMIF(Hoja4!$B$3:$B$164,$A69,Hoja4!$D$3:$D$164)</f>
        <v>24366000</v>
      </c>
      <c r="D69" s="100">
        <f>+SUMIF(Hoja4!$B$3:$B$164,$A69,Hoja4!$E$3:$E$164)</f>
        <v>24366000</v>
      </c>
      <c r="E69" s="100">
        <f>+SUMIF(Hoja4!$B$3:$B$164,$A69,Hoja4!$F$3:$F$164)</f>
        <v>0</v>
      </c>
      <c r="F69" s="100">
        <f>+SUMIF(Hoja4!$B$3:$B$164,$A69,Hoja4!$J$3:$J$164)</f>
        <v>24273323.800000001</v>
      </c>
      <c r="G69" s="100">
        <f>+SUMIF(Hoja4!$B$3:$B$164,$A69,Hoja4!$K$3:$K$164)</f>
        <v>92676.2</v>
      </c>
      <c r="H69" s="138">
        <f>+IFERROR(Hoja4!L65,0)</f>
        <v>0.9961964951161455</v>
      </c>
      <c r="I69" s="138">
        <f>+IFERROR(Hoja4!M65,0)</f>
        <v>3.8035048838545513E-3</v>
      </c>
    </row>
    <row r="70" spans="1:11" s="23" customFormat="1" x14ac:dyDescent="0.25">
      <c r="A70" s="73" t="str">
        <f>+Hoja4!B66</f>
        <v>E-10702</v>
      </c>
      <c r="B70" s="103" t="str">
        <f>+Hoja4!C66</f>
        <v>ACTIV.PROTOCOL Y SOC</v>
      </c>
      <c r="C70" s="100">
        <f>+SUMIF(Hoja4!$B$3:$B$164,$A70,Hoja4!$D$3:$D$164)</f>
        <v>1872000</v>
      </c>
      <c r="D70" s="100">
        <f>+SUMIF(Hoja4!$B$3:$B$164,$A70,Hoja4!$E$3:$E$164)</f>
        <v>1872000</v>
      </c>
      <c r="E70" s="100">
        <f>+SUMIF(Hoja4!$B$3:$B$164,$A70,Hoja4!$F$3:$F$164)</f>
        <v>0</v>
      </c>
      <c r="F70" s="100">
        <f>+SUMIF(Hoja4!$B$3:$B$164,$A70,Hoja4!$J$3:$J$164)</f>
        <v>972813.09</v>
      </c>
      <c r="G70" s="100">
        <f>+SUMIF(Hoja4!$B$3:$B$164,$A70,Hoja4!$K$3:$K$164)</f>
        <v>899186.91</v>
      </c>
      <c r="H70" s="138">
        <f>+IFERROR(Hoja4!L66,0)</f>
        <v>0.51966511217948719</v>
      </c>
      <c r="I70" s="138">
        <f>+IFERROR(Hoja4!M66,0)</f>
        <v>0.48033488782051281</v>
      </c>
      <c r="J70" s="128"/>
      <c r="K70" s="128"/>
    </row>
    <row r="71" spans="1:11" x14ac:dyDescent="0.25">
      <c r="A71" s="73" t="str">
        <f>+Hoja4!B67</f>
        <v>E-10703</v>
      </c>
      <c r="B71" s="103" t="str">
        <f>+Hoja4!C67</f>
        <v>GASTOS REPRES.INSTIT</v>
      </c>
      <c r="C71" s="100">
        <f>+SUMIF(Hoja4!$B$3:$B$164,$A71,Hoja4!$D$3:$D$164)</f>
        <v>600000</v>
      </c>
      <c r="D71" s="100">
        <f>+SUMIF(Hoja4!$B$3:$B$164,$A71,Hoja4!$E$3:$E$164)</f>
        <v>600000</v>
      </c>
      <c r="E71" s="100">
        <f>+SUMIF(Hoja4!$B$3:$B$164,$A71,Hoja4!$F$3:$F$164)</f>
        <v>0</v>
      </c>
      <c r="F71" s="100">
        <f>+SUMIF(Hoja4!$B$3:$B$164,$A71,Hoja4!$J$3:$J$164)</f>
        <v>284864.96999999997</v>
      </c>
      <c r="G71" s="100">
        <f>+SUMIF(Hoja4!$B$3:$B$164,$A71,Hoja4!$K$3:$K$164)</f>
        <v>315135.03000000003</v>
      </c>
      <c r="H71" s="138">
        <f>+IFERROR(Hoja4!L67,0)</f>
        <v>0.47477494999999997</v>
      </c>
      <c r="I71" s="138">
        <f>+IFERROR(Hoja4!M67,0)</f>
        <v>0.52522505000000008</v>
      </c>
    </row>
    <row r="72" spans="1:11" s="23" customFormat="1" x14ac:dyDescent="0.25">
      <c r="A72" s="71" t="str">
        <f>+Hoja4!B68</f>
        <v>E-108</v>
      </c>
      <c r="B72" s="102" t="str">
        <f>+Hoja4!C68</f>
        <v>MANTEN. Y REPARACIÓN</v>
      </c>
      <c r="C72" s="72">
        <f>SUM(C73:C79)</f>
        <v>941850575</v>
      </c>
      <c r="D72" s="72">
        <f t="shared" ref="D72:G72" si="15">SUM(D73:D79)</f>
        <v>941850575</v>
      </c>
      <c r="E72" s="72">
        <f t="shared" si="15"/>
        <v>0</v>
      </c>
      <c r="F72" s="72">
        <f t="shared" si="15"/>
        <v>760635534.1500001</v>
      </c>
      <c r="G72" s="72">
        <f t="shared" si="15"/>
        <v>181215040.84999999</v>
      </c>
      <c r="H72" s="143">
        <f>+IFERROR(Hoja4!L68,0)</f>
        <v>0.80759682516518094</v>
      </c>
      <c r="I72" s="143">
        <f>+IFERROR(Hoja4!M68,0)</f>
        <v>0.19240317483481922</v>
      </c>
      <c r="J72" s="128"/>
      <c r="K72" s="128"/>
    </row>
    <row r="73" spans="1:11" x14ac:dyDescent="0.25">
      <c r="A73" s="73" t="str">
        <f>+Hoja4!B69</f>
        <v>E-10801</v>
      </c>
      <c r="B73" s="103" t="str">
        <f>+Hoja4!C69</f>
        <v>MANT.EDIF.,LOC.YTERR</v>
      </c>
      <c r="C73" s="100">
        <f>+SUMIF(Hoja4!$B$3:$B$164,$A73,Hoja4!$D$3:$D$164)</f>
        <v>128087087</v>
      </c>
      <c r="D73" s="100">
        <f>+SUMIF(Hoja4!$B$3:$B$164,$A73,Hoja4!$E$3:$E$164)</f>
        <v>128087087</v>
      </c>
      <c r="E73" s="100">
        <f>+SUMIF(Hoja4!$B$3:$B$164,$A73,Hoja4!$F$3:$F$164)</f>
        <v>0</v>
      </c>
      <c r="F73" s="100">
        <f>+SUMIF(Hoja4!$B$3:$B$164,$A73,Hoja4!$J$3:$J$164)</f>
        <v>15489508.75</v>
      </c>
      <c r="G73" s="100">
        <f>+SUMIF(Hoja4!$B$3:$B$164,$A73,Hoja4!$K$3:$K$164)</f>
        <v>112597578.25</v>
      </c>
      <c r="H73" s="138">
        <f>+IFERROR(Hoja4!L69,0)</f>
        <v>0.12092951063833625</v>
      </c>
      <c r="I73" s="138">
        <f>+IFERROR(Hoja4!M69,0)</f>
        <v>0.87907048936166376</v>
      </c>
    </row>
    <row r="74" spans="1:11" x14ac:dyDescent="0.25">
      <c r="A74" s="73" t="str">
        <f>+Hoja4!B70</f>
        <v>E-10804</v>
      </c>
      <c r="B74" s="103" t="str">
        <f>+Hoja4!C70</f>
        <v>MANT.Y REP.M.EQ.PROD</v>
      </c>
      <c r="C74" s="100">
        <f>+SUMIF(Hoja4!$B$3:$B$164,$A74,Hoja4!$D$3:$D$164)</f>
        <v>331910642</v>
      </c>
      <c r="D74" s="100">
        <f>+SUMIF(Hoja4!$B$3:$B$164,$A74,Hoja4!$E$3:$E$164)</f>
        <v>331910642</v>
      </c>
      <c r="E74" s="100">
        <f>+SUMIF(Hoja4!$B$3:$B$164,$A74,Hoja4!$F$3:$F$164)</f>
        <v>0</v>
      </c>
      <c r="F74" s="100">
        <f>+SUMIF(Hoja4!$B$3:$B$164,$A74,Hoja4!$J$3:$J$164)</f>
        <v>330777947.47000003</v>
      </c>
      <c r="G74" s="100">
        <f>+SUMIF(Hoja4!$B$3:$B$164,$A74,Hoja4!$K$3:$K$164)</f>
        <v>1132694.5299999998</v>
      </c>
      <c r="H74" s="138">
        <f>+IFERROR(Hoja4!L70,0)</f>
        <v>0.99658735097141005</v>
      </c>
      <c r="I74" s="138">
        <f>+IFERROR(Hoja4!M70,0)</f>
        <v>3.4126490285900498E-3</v>
      </c>
    </row>
    <row r="75" spans="1:11" x14ac:dyDescent="0.25">
      <c r="A75" s="73" t="str">
        <f>+Hoja4!B71</f>
        <v>E-10805</v>
      </c>
      <c r="B75" s="103" t="str">
        <f>+Hoja4!C71</f>
        <v>MANT.Y REP.EQ.TRANSP</v>
      </c>
      <c r="C75" s="100">
        <f>+SUMIF(Hoja4!$B$3:$B$164,$A75,Hoja4!$D$3:$D$164)</f>
        <v>196330000</v>
      </c>
      <c r="D75" s="100">
        <f>+SUMIF(Hoja4!$B$3:$B$164,$A75,Hoja4!$E$3:$E$164)</f>
        <v>196330000</v>
      </c>
      <c r="E75" s="100">
        <f>+SUMIF(Hoja4!$B$3:$B$164,$A75,Hoja4!$F$3:$F$164)</f>
        <v>0</v>
      </c>
      <c r="F75" s="100">
        <f>+SUMIF(Hoja4!$B$3:$B$164,$A75,Hoja4!$J$3:$J$164)</f>
        <v>181698755.78</v>
      </c>
      <c r="G75" s="100">
        <f>+SUMIF(Hoja4!$B$3:$B$164,$A75,Hoja4!$K$3:$K$164)</f>
        <v>14631244.220000001</v>
      </c>
      <c r="H75" s="138">
        <f>+IFERROR(Hoja4!L71,0)</f>
        <v>0.92547626842560993</v>
      </c>
      <c r="I75" s="138">
        <f>+IFERROR(Hoja4!M71,0)</f>
        <v>7.4523731574390059E-2</v>
      </c>
    </row>
    <row r="76" spans="1:11" x14ac:dyDescent="0.25">
      <c r="A76" s="73" t="str">
        <f>+Hoja4!B72</f>
        <v>E-10806</v>
      </c>
      <c r="B76" s="103" t="str">
        <f>+Hoja4!C72</f>
        <v>MANT.Y REP.EQ.COMUNI</v>
      </c>
      <c r="C76" s="100">
        <f>+SUMIF(Hoja4!$B$3:$B$164,$A76,Hoja4!$D$3:$D$164)</f>
        <v>9463000</v>
      </c>
      <c r="D76" s="100">
        <f>+SUMIF(Hoja4!$B$3:$B$164,$A76,Hoja4!$E$3:$E$164)</f>
        <v>9463000</v>
      </c>
      <c r="E76" s="100">
        <f>+SUMIF(Hoja4!$B$3:$B$164,$A76,Hoja4!$F$3:$F$164)</f>
        <v>0</v>
      </c>
      <c r="F76" s="100">
        <f>+SUMIF(Hoja4!$B$3:$B$164,$A76,Hoja4!$J$3:$J$164)</f>
        <v>7564640.3499999996</v>
      </c>
      <c r="G76" s="100">
        <f>+SUMIF(Hoja4!$B$3:$B$164,$A76,Hoja4!$K$3:$K$164)</f>
        <v>1898359.65</v>
      </c>
      <c r="H76" s="138">
        <f>+IFERROR(Hoja4!L72,0)</f>
        <v>0.79939135052308985</v>
      </c>
      <c r="I76" s="138">
        <f>+IFERROR(Hoja4!M72,0)</f>
        <v>0.20060864947691007</v>
      </c>
    </row>
    <row r="77" spans="1:11" x14ac:dyDescent="0.25">
      <c r="A77" s="73" t="str">
        <f>+Hoja4!B73</f>
        <v>E-10807</v>
      </c>
      <c r="B77" s="103" t="str">
        <f>+Hoja4!C73</f>
        <v>MANT.Y REP.EQ.MOB.OF</v>
      </c>
      <c r="C77" s="100">
        <f>+SUMIF(Hoja4!$B$3:$B$164,$A77,Hoja4!$D$3:$D$164)</f>
        <v>34430759</v>
      </c>
      <c r="D77" s="100">
        <f>+SUMIF(Hoja4!$B$3:$B$164,$A77,Hoja4!$E$3:$E$164)</f>
        <v>34430759</v>
      </c>
      <c r="E77" s="100">
        <f>+SUMIF(Hoja4!$B$3:$B$164,$A77,Hoja4!$F$3:$F$164)</f>
        <v>0</v>
      </c>
      <c r="F77" s="100">
        <f>+SUMIF(Hoja4!$B$3:$B$164,$A77,Hoja4!$J$3:$J$164)</f>
        <v>28515853.399999999</v>
      </c>
      <c r="G77" s="100">
        <f>+SUMIF(Hoja4!$B$3:$B$164,$A77,Hoja4!$K$3:$K$164)</f>
        <v>5914905.5999999996</v>
      </c>
      <c r="H77" s="138">
        <f>+IFERROR(Hoja4!L73,0)</f>
        <v>0.82820867817639454</v>
      </c>
      <c r="I77" s="138">
        <f>+IFERROR(Hoja4!M73,0)</f>
        <v>0.17179132182360546</v>
      </c>
    </row>
    <row r="78" spans="1:11" x14ac:dyDescent="0.25">
      <c r="A78" s="73" t="str">
        <f>+Hoja4!B74</f>
        <v>E-10808</v>
      </c>
      <c r="B78" s="103" t="str">
        <f>+Hoja4!C74</f>
        <v>MANT.YREP.EQ.C.S.INF</v>
      </c>
      <c r="C78" s="100">
        <f>+SUMIF(Hoja4!$B$3:$B$164,$A78,Hoja4!$D$3:$D$164)</f>
        <v>74592119</v>
      </c>
      <c r="D78" s="100">
        <f>+SUMIF(Hoja4!$B$3:$B$164,$A78,Hoja4!$E$3:$E$164)</f>
        <v>74592119</v>
      </c>
      <c r="E78" s="100">
        <f>+SUMIF(Hoja4!$B$3:$B$164,$A78,Hoja4!$F$3:$F$164)</f>
        <v>0</v>
      </c>
      <c r="F78" s="100">
        <f>+SUMIF(Hoja4!$B$3:$B$164,$A78,Hoja4!$J$3:$J$164)</f>
        <v>41264305.829999998</v>
      </c>
      <c r="G78" s="100">
        <f>+SUMIF(Hoja4!$B$3:$B$164,$A78,Hoja4!$K$3:$K$164)</f>
        <v>33327813.169999998</v>
      </c>
      <c r="H78" s="138">
        <f>+IFERROR(Hoja4!L74,0)</f>
        <v>0.5531992706897092</v>
      </c>
      <c r="I78" s="138">
        <f>+IFERROR(Hoja4!M74,0)</f>
        <v>0.4468007293102908</v>
      </c>
    </row>
    <row r="79" spans="1:11" x14ac:dyDescent="0.25">
      <c r="A79" s="73" t="str">
        <f>+Hoja4!B75</f>
        <v>E-10899</v>
      </c>
      <c r="B79" s="103" t="str">
        <f>+Hoja4!C75</f>
        <v>MANT.Y REP.OTROS EQ.</v>
      </c>
      <c r="C79" s="100">
        <f>+SUMIF(Hoja4!$B$3:$B$164,$A79,Hoja4!$D$3:$D$164)</f>
        <v>167036968</v>
      </c>
      <c r="D79" s="100">
        <f>+SUMIF(Hoja4!$B$3:$B$164,$A79,Hoja4!$E$3:$E$164)</f>
        <v>167036968</v>
      </c>
      <c r="E79" s="100">
        <f>+SUMIF(Hoja4!$B$3:$B$164,$A79,Hoja4!$F$3:$F$164)</f>
        <v>0</v>
      </c>
      <c r="F79" s="100">
        <f>+SUMIF(Hoja4!$B$3:$B$164,$A79,Hoja4!$J$3:$J$164)</f>
        <v>155324522.56999999</v>
      </c>
      <c r="G79" s="100">
        <f>+SUMIF(Hoja4!$B$3:$B$164,$A79,Hoja4!$K$3:$K$164)</f>
        <v>11712445.43</v>
      </c>
      <c r="H79" s="138">
        <f>+IFERROR(Hoja4!L75,0)</f>
        <v>0.92988111811272811</v>
      </c>
      <c r="I79" s="138">
        <f>+IFERROR(Hoja4!M75,0)</f>
        <v>7.0118881887271806E-2</v>
      </c>
    </row>
    <row r="80" spans="1:11" s="23" customFormat="1" x14ac:dyDescent="0.25">
      <c r="A80" s="71" t="str">
        <f>+Hoja4!B76</f>
        <v>E-109</v>
      </c>
      <c r="B80" s="102" t="str">
        <f>+Hoja4!C76</f>
        <v>IMPUESTOS</v>
      </c>
      <c r="C80" s="72">
        <f>+C81</f>
        <v>19170000</v>
      </c>
      <c r="D80" s="72">
        <f t="shared" ref="D80:G80" si="16">+D81</f>
        <v>19170000</v>
      </c>
      <c r="E80" s="72">
        <f t="shared" si="16"/>
        <v>0</v>
      </c>
      <c r="F80" s="72">
        <f t="shared" si="16"/>
        <v>14461814</v>
      </c>
      <c r="G80" s="72">
        <f t="shared" si="16"/>
        <v>4708186</v>
      </c>
      <c r="H80" s="143">
        <f>+IFERROR(Hoja4!L76,0)</f>
        <v>0.75439822639540954</v>
      </c>
      <c r="I80" s="143">
        <f>+IFERROR(Hoja4!M76,0)</f>
        <v>0.24560177360459051</v>
      </c>
      <c r="J80" s="128"/>
      <c r="K80" s="128"/>
    </row>
    <row r="81" spans="1:11" x14ac:dyDescent="0.25">
      <c r="A81" s="73" t="str">
        <f>+Hoja4!B77</f>
        <v>E-10999</v>
      </c>
      <c r="B81" s="103" t="str">
        <f>+Hoja4!C77</f>
        <v>TROS IMPUESTOS</v>
      </c>
      <c r="C81" s="100">
        <f>+SUMIF(Hoja4!$B$3:$B$164,$A81,Hoja4!$D$3:$D$164)</f>
        <v>19170000</v>
      </c>
      <c r="D81" s="100">
        <f>+SUMIF(Hoja4!$B$3:$B$164,$A81,Hoja4!$E$3:$E$164)</f>
        <v>19170000</v>
      </c>
      <c r="E81" s="100">
        <f>+SUMIF(Hoja4!$B$3:$B$164,$A81,Hoja4!$F$3:$F$164)</f>
        <v>0</v>
      </c>
      <c r="F81" s="100">
        <f>+SUMIF(Hoja4!$B$3:$B$164,$A81,Hoja4!$J$3:$J$164)</f>
        <v>14461814</v>
      </c>
      <c r="G81" s="100">
        <f>+SUMIF(Hoja4!$B$3:$B$164,$A81,Hoja4!$K$3:$K$164)</f>
        <v>4708186</v>
      </c>
      <c r="H81" s="138">
        <f>+IFERROR(Hoja4!L77,0)</f>
        <v>0.75439822639540954</v>
      </c>
      <c r="I81" s="138">
        <f>+IFERROR(Hoja4!M77,0)</f>
        <v>0.24560177360459051</v>
      </c>
    </row>
    <row r="82" spans="1:11" s="23" customFormat="1" x14ac:dyDescent="0.25">
      <c r="A82" s="71" t="str">
        <f>+Hoja4!B78</f>
        <v>E-199</v>
      </c>
      <c r="B82" s="102" t="str">
        <f>+Hoja4!C78</f>
        <v>SERVICIOS DIVERSOS</v>
      </c>
      <c r="C82" s="72">
        <f>SUM(C83:C85)</f>
        <v>89568515</v>
      </c>
      <c r="D82" s="72">
        <f t="shared" ref="D82:G82" si="17">SUM(D83:D85)</f>
        <v>89568515</v>
      </c>
      <c r="E82" s="72">
        <f t="shared" si="17"/>
        <v>0</v>
      </c>
      <c r="F82" s="72">
        <f t="shared" si="17"/>
        <v>83394281.400000006</v>
      </c>
      <c r="G82" s="72">
        <f t="shared" si="17"/>
        <v>6174233.5999999996</v>
      </c>
      <c r="H82" s="143">
        <f>+IFERROR(Hoja4!L78,0)</f>
        <v>0.9310669201113807</v>
      </c>
      <c r="I82" s="143">
        <f>+IFERROR(Hoja4!M78,0)</f>
        <v>6.8933079888619339E-2</v>
      </c>
      <c r="J82" s="128"/>
      <c r="K82" s="128"/>
    </row>
    <row r="83" spans="1:11" x14ac:dyDescent="0.25">
      <c r="A83" s="73" t="str">
        <f>+Hoja4!B79</f>
        <v>E-19901</v>
      </c>
      <c r="B83" s="103" t="str">
        <f>+Hoja4!C79</f>
        <v>SERV. DE REGULACIÓN</v>
      </c>
      <c r="C83" s="100">
        <f>+SUMIF(Hoja4!$B$3:$B$164,$A83,Hoja4!$D$3:$D$164)</f>
        <v>2268515</v>
      </c>
      <c r="D83" s="100">
        <f>+SUMIF(Hoja4!$B$3:$B$164,$A83,Hoja4!$E$3:$E$164)</f>
        <v>2268515</v>
      </c>
      <c r="E83" s="100">
        <f>+SUMIF(Hoja4!$B$3:$B$164,$A83,Hoja4!$F$3:$F$164)</f>
        <v>0</v>
      </c>
      <c r="F83" s="100">
        <f>+SUMIF(Hoja4!$B$3:$B$164,$A83,Hoja4!$J$3:$J$164)</f>
        <v>2268015.5700000003</v>
      </c>
      <c r="G83" s="100">
        <f>+SUMIF(Hoja4!$B$3:$B$164,$A83,Hoja4!$K$3:$K$164)</f>
        <v>499.43</v>
      </c>
      <c r="H83" s="138">
        <f>+IFERROR(Hoja4!L79,0)</f>
        <v>0.99977984276057252</v>
      </c>
      <c r="I83" s="138">
        <f>+IFERROR(Hoja4!M79,0)</f>
        <v>2.2015723942755503E-4</v>
      </c>
    </row>
    <row r="84" spans="1:11" x14ac:dyDescent="0.25">
      <c r="A84" s="73" t="str">
        <f>+Hoja4!B80</f>
        <v>E-19902</v>
      </c>
      <c r="B84" s="103" t="str">
        <f>+Hoja4!C80</f>
        <v>INT. MORAT. Y MULTAS</v>
      </c>
      <c r="C84" s="100">
        <f>+SUMIF(Hoja4!$B$3:$B$164,$A84,Hoja4!$D$3:$D$164)</f>
        <v>54075000</v>
      </c>
      <c r="D84" s="100">
        <f>+SUMIF(Hoja4!$B$3:$B$164,$A84,Hoja4!$E$3:$E$164)</f>
        <v>54075000</v>
      </c>
      <c r="E84" s="100">
        <f>+SUMIF(Hoja4!$B$3:$B$164,$A84,Hoja4!$F$3:$F$164)</f>
        <v>0</v>
      </c>
      <c r="F84" s="100">
        <f>+SUMIF(Hoja4!$B$3:$B$164,$A84,Hoja4!$J$3:$J$164)</f>
        <v>54028535.829999998</v>
      </c>
      <c r="G84" s="100">
        <f>+SUMIF(Hoja4!$B$3:$B$164,$A84,Hoja4!$K$3:$K$164)</f>
        <v>46464.17</v>
      </c>
      <c r="H84" s="138">
        <f>+IFERROR(Hoja4!L80,0)</f>
        <v>0.99914074581599632</v>
      </c>
      <c r="I84" s="138">
        <f>+IFERROR(Hoja4!M80,0)</f>
        <v>8.592541840036985E-4</v>
      </c>
    </row>
    <row r="85" spans="1:11" x14ac:dyDescent="0.25">
      <c r="A85" s="73" t="str">
        <f>+Hoja4!B81</f>
        <v>E-19905</v>
      </c>
      <c r="B85" s="103" t="str">
        <f>+Hoja4!C81</f>
        <v>DEDUCIBLES</v>
      </c>
      <c r="C85" s="100">
        <f>+SUMIF(Hoja4!$B$3:$B$164,$A85,Hoja4!$D$3:$D$164)</f>
        <v>33225000</v>
      </c>
      <c r="D85" s="100">
        <f>+SUMIF(Hoja4!$B$3:$B$164,$A85,Hoja4!$E$3:$E$164)</f>
        <v>33225000</v>
      </c>
      <c r="E85" s="100">
        <f>+SUMIF(Hoja4!$B$3:$B$164,$A85,Hoja4!$F$3:$F$164)</f>
        <v>0</v>
      </c>
      <c r="F85" s="100">
        <f>+SUMIF(Hoja4!$B$3:$B$164,$A85,Hoja4!$J$3:$J$164)</f>
        <v>27097730</v>
      </c>
      <c r="G85" s="100">
        <f>+SUMIF(Hoja4!$B$3:$B$164,$A85,Hoja4!$K$3:$K$164)</f>
        <v>6127270</v>
      </c>
      <c r="H85" s="138">
        <f>+IFERROR(Hoja4!L81,0)</f>
        <v>0.81558254326561319</v>
      </c>
      <c r="I85" s="138">
        <f>+IFERROR(Hoja4!M81,0)</f>
        <v>0.18441745673438675</v>
      </c>
    </row>
    <row r="86" spans="1:11" x14ac:dyDescent="0.25">
      <c r="A86" s="148" t="str">
        <f>+Hoja4!B82</f>
        <v>E-2</v>
      </c>
      <c r="B86" s="149" t="str">
        <f>+Hoja4!C82</f>
        <v>MATERIALES Y SUMINIS</v>
      </c>
      <c r="C86" s="150">
        <f>+C87+C93+C96+C104+C107</f>
        <v>15431160767.51</v>
      </c>
      <c r="D86" s="150">
        <f>+Hoja4!E82</f>
        <v>15431160767.51</v>
      </c>
      <c r="E86" s="150">
        <f>+Hoja4!F82</f>
        <v>0</v>
      </c>
      <c r="F86" s="150">
        <f>SUM(Hoja4!G82:I82)</f>
        <v>14911234283.290001</v>
      </c>
      <c r="G86" s="153">
        <f>+Hoja4!K82</f>
        <v>519926484.22000003</v>
      </c>
      <c r="H86" s="151">
        <f>+IFERROR(Hoja4!L82,0)</f>
        <v>0.96630671586840733</v>
      </c>
      <c r="I86" s="151">
        <f>+IFERROR(Hoja4!M82,0)</f>
        <v>3.3693284131592671E-2</v>
      </c>
      <c r="K86" s="25">
        <f>+C86-Estado!C116</f>
        <v>0</v>
      </c>
    </row>
    <row r="87" spans="1:11" s="23" customFormat="1" x14ac:dyDescent="0.25">
      <c r="A87" s="71" t="str">
        <f>+Hoja4!B83</f>
        <v>E-201</v>
      </c>
      <c r="B87" s="102" t="str">
        <f>+Hoja4!C83</f>
        <v>PRODUC QUÍM Y CONEX</v>
      </c>
      <c r="C87" s="72">
        <f>SUM(C88:C92)</f>
        <v>956362475</v>
      </c>
      <c r="D87" s="72">
        <f t="shared" ref="D87:G87" si="18">SUM(D88:D92)</f>
        <v>956362475</v>
      </c>
      <c r="E87" s="72">
        <f t="shared" si="18"/>
        <v>0</v>
      </c>
      <c r="F87" s="72">
        <f t="shared" si="18"/>
        <v>934484873.87999988</v>
      </c>
      <c r="G87" s="72">
        <f t="shared" si="18"/>
        <v>21877601.120000001</v>
      </c>
      <c r="H87" s="143">
        <f>+IFERROR(Hoja4!L83,0)</f>
        <v>0.97712415355903626</v>
      </c>
      <c r="I87" s="143">
        <f>+IFERROR(Hoja4!M83,0)</f>
        <v>2.2875846440963715E-2</v>
      </c>
      <c r="J87" s="128"/>
      <c r="K87" s="128"/>
    </row>
    <row r="88" spans="1:11" x14ac:dyDescent="0.25">
      <c r="A88" s="73" t="str">
        <f>+Hoja4!B84</f>
        <v>E-20101</v>
      </c>
      <c r="B88" s="103" t="str">
        <f>+Hoja4!C84</f>
        <v>COMB Y LUBRICANTES</v>
      </c>
      <c r="C88" s="100">
        <f>+SUMIF(Hoja4!$B$3:$B$164,$A88,Hoja4!$D$3:$D$164)</f>
        <v>666637000</v>
      </c>
      <c r="D88" s="100">
        <f>+SUMIF(Hoja4!$B$3:$B$164,$A88,Hoja4!$E$3:$E$164)</f>
        <v>666637000</v>
      </c>
      <c r="E88" s="100">
        <f>+SUMIF(Hoja4!$B$3:$B$164,$A88,Hoja4!$F$3:$F$164)</f>
        <v>0</v>
      </c>
      <c r="F88" s="100">
        <f>+SUMIF(Hoja4!$B$3:$B$164,$A88,Hoja4!$J$3:$J$164)</f>
        <v>656120131.71999991</v>
      </c>
      <c r="G88" s="100">
        <f>+SUMIF(Hoja4!$B$3:$B$164,$A88,Hoja4!$K$3:$K$164)</f>
        <v>10516868.280000001</v>
      </c>
      <c r="H88" s="138">
        <f>+IFERROR(Hoja4!L84,0)</f>
        <v>0.98422399554780171</v>
      </c>
      <c r="I88" s="138">
        <f>+IFERROR(Hoja4!M84,0)</f>
        <v>1.5776004452198126E-2</v>
      </c>
    </row>
    <row r="89" spans="1:11" x14ac:dyDescent="0.25">
      <c r="A89" s="73" t="str">
        <f>+Hoja4!B85</f>
        <v>E-20102</v>
      </c>
      <c r="B89" s="103" t="str">
        <f>+Hoja4!C85</f>
        <v>PROD FARMAC Y MEDIC.</v>
      </c>
      <c r="C89" s="100">
        <f>+SUMIF(Hoja4!$B$3:$B$164,$A89,Hoja4!$D$3:$D$164)</f>
        <v>210891180</v>
      </c>
      <c r="D89" s="100">
        <f>+SUMIF(Hoja4!$B$3:$B$164,$A89,Hoja4!$E$3:$E$164)</f>
        <v>210891180</v>
      </c>
      <c r="E89" s="100">
        <f>+SUMIF(Hoja4!$B$3:$B$164,$A89,Hoja4!$F$3:$F$164)</f>
        <v>0</v>
      </c>
      <c r="F89" s="100">
        <f>+SUMIF(Hoja4!$B$3:$B$164,$A89,Hoja4!$J$3:$J$164)</f>
        <v>209623085</v>
      </c>
      <c r="G89" s="100">
        <f>+SUMIF(Hoja4!$B$3:$B$164,$A89,Hoja4!$K$3:$K$164)</f>
        <v>1268095</v>
      </c>
      <c r="H89" s="138">
        <f>+IFERROR(Hoja4!L85,0)</f>
        <v>0.99398696996242331</v>
      </c>
      <c r="I89" s="138">
        <f>+IFERROR(Hoja4!M85,0)</f>
        <v>6.0130300375767255E-3</v>
      </c>
    </row>
    <row r="90" spans="1:11" x14ac:dyDescent="0.25">
      <c r="A90" s="73" t="str">
        <f>+Hoja4!B86</f>
        <v>E-20103</v>
      </c>
      <c r="B90" s="103" t="str">
        <f>+Hoja4!C86</f>
        <v>PRODUCTOS VETERIN.</v>
      </c>
      <c r="C90" s="100">
        <f>+SUMIF(Hoja4!$B$3:$B$164,$A90,Hoja4!$D$3:$D$164)</f>
        <v>5824000</v>
      </c>
      <c r="D90" s="100">
        <f>+SUMIF(Hoja4!$B$3:$B$164,$A90,Hoja4!$E$3:$E$164)</f>
        <v>5824000</v>
      </c>
      <c r="E90" s="100">
        <f>+SUMIF(Hoja4!$B$3:$B$164,$A90,Hoja4!$F$3:$F$164)</f>
        <v>0</v>
      </c>
      <c r="F90" s="100">
        <f>+SUMIF(Hoja4!$B$3:$B$164,$A90,Hoja4!$J$3:$J$164)</f>
        <v>300000</v>
      </c>
      <c r="G90" s="100">
        <f>+SUMIF(Hoja4!$B$3:$B$164,$A90,Hoja4!$K$3:$K$164)</f>
        <v>5524000</v>
      </c>
      <c r="H90" s="138">
        <f>+IFERROR(Hoja4!L86,0)</f>
        <v>5.1510989010989008E-2</v>
      </c>
      <c r="I90" s="138">
        <f>+IFERROR(Hoja4!M86,0)</f>
        <v>0.94848901098901095</v>
      </c>
    </row>
    <row r="91" spans="1:11" x14ac:dyDescent="0.25">
      <c r="A91" s="73" t="str">
        <f>+Hoja4!B87</f>
        <v>E-20104</v>
      </c>
      <c r="B91" s="103" t="str">
        <f>+Hoja4!C87</f>
        <v>TINTAS, PINT.Y DILUY</v>
      </c>
      <c r="C91" s="100">
        <f>+SUMIF(Hoja4!$B$3:$B$164,$A91,Hoja4!$D$3:$D$164)</f>
        <v>59415400</v>
      </c>
      <c r="D91" s="100">
        <f>+SUMIF(Hoja4!$B$3:$B$164,$A91,Hoja4!$E$3:$E$164)</f>
        <v>59415400</v>
      </c>
      <c r="E91" s="100">
        <f>+SUMIF(Hoja4!$B$3:$B$164,$A91,Hoja4!$F$3:$F$164)</f>
        <v>0</v>
      </c>
      <c r="F91" s="100">
        <f>+SUMIF(Hoja4!$B$3:$B$164,$A91,Hoja4!$J$3:$J$164)</f>
        <v>56931917.159999996</v>
      </c>
      <c r="G91" s="100">
        <f>+SUMIF(Hoja4!$B$3:$B$164,$A91,Hoja4!$K$3:$K$164)</f>
        <v>2483482.84</v>
      </c>
      <c r="H91" s="138">
        <f>+IFERROR(Hoja4!L87,0)</f>
        <v>0.9582013612632414</v>
      </c>
      <c r="I91" s="138">
        <f>+IFERROR(Hoja4!M87,0)</f>
        <v>4.179863873675848E-2</v>
      </c>
    </row>
    <row r="92" spans="1:11" x14ac:dyDescent="0.25">
      <c r="A92" s="73" t="str">
        <f>+Hoja4!B88</f>
        <v>E-20199</v>
      </c>
      <c r="B92" s="103" t="str">
        <f>+Hoja4!C88</f>
        <v>OTR.PROD.QUÍM YCONEX</v>
      </c>
      <c r="C92" s="100">
        <f>+SUMIF(Hoja4!$B$3:$B$164,$A92,Hoja4!$D$3:$D$164)</f>
        <v>13594895</v>
      </c>
      <c r="D92" s="100">
        <f>+SUMIF(Hoja4!$B$3:$B$164,$A92,Hoja4!$E$3:$E$164)</f>
        <v>13594895</v>
      </c>
      <c r="E92" s="100">
        <f>+SUMIF(Hoja4!$B$3:$B$164,$A92,Hoja4!$F$3:$F$164)</f>
        <v>0</v>
      </c>
      <c r="F92" s="100">
        <f>+SUMIF(Hoja4!$B$3:$B$164,$A92,Hoja4!$J$3:$J$164)</f>
        <v>11509740</v>
      </c>
      <c r="G92" s="100">
        <f>+SUMIF(Hoja4!$B$3:$B$164,$A92,Hoja4!$K$3:$K$164)</f>
        <v>2085155</v>
      </c>
      <c r="H92" s="138">
        <f>+IFERROR(Hoja4!L88,0)</f>
        <v>0.84662220635025132</v>
      </c>
      <c r="I92" s="138">
        <f>+IFERROR(Hoja4!M88,0)</f>
        <v>0.15337779364974868</v>
      </c>
    </row>
    <row r="93" spans="1:11" s="23" customFormat="1" x14ac:dyDescent="0.25">
      <c r="A93" s="71" t="str">
        <f>+Hoja4!B89</f>
        <v>E-202</v>
      </c>
      <c r="B93" s="102" t="str">
        <f>+Hoja4!C89</f>
        <v>ALIMEN Y PRODUC AGRO</v>
      </c>
      <c r="C93" s="72">
        <f>SUM(C94:C95)</f>
        <v>10524984481.51</v>
      </c>
      <c r="D93" s="72">
        <f t="shared" ref="D93:G93" si="19">SUM(D94:D95)</f>
        <v>10524984481.51</v>
      </c>
      <c r="E93" s="72">
        <f t="shared" si="19"/>
        <v>0</v>
      </c>
      <c r="F93" s="72">
        <f t="shared" si="19"/>
        <v>10483904274.540001</v>
      </c>
      <c r="G93" s="72">
        <f t="shared" si="19"/>
        <v>41080206.969999999</v>
      </c>
      <c r="H93" s="143">
        <f>+IFERROR(Hoja4!L89,0)</f>
        <v>0.99609688669449648</v>
      </c>
      <c r="I93" s="143">
        <f>+IFERROR(Hoja4!M89,0)</f>
        <v>3.9031133055035436E-3</v>
      </c>
      <c r="J93" s="128"/>
      <c r="K93" s="128"/>
    </row>
    <row r="94" spans="1:11" x14ac:dyDescent="0.25">
      <c r="A94" s="73" t="str">
        <f>+Hoja4!B90</f>
        <v>E-20203</v>
      </c>
      <c r="B94" s="103" t="str">
        <f>+Hoja4!C90</f>
        <v>ALIMENTOS Y BEBIDAS</v>
      </c>
      <c r="C94" s="100">
        <f>+SUMIF(Hoja4!$B$3:$B$164,$A94,Hoja4!$D$3:$D$164)</f>
        <v>10512984481.51</v>
      </c>
      <c r="D94" s="100">
        <f>+SUMIF(Hoja4!$B$3:$B$164,$A94,Hoja4!$E$3:$E$164)</f>
        <v>10512984481.51</v>
      </c>
      <c r="E94" s="100">
        <f>+SUMIF(Hoja4!$B$3:$B$164,$A94,Hoja4!$F$3:$F$164)</f>
        <v>0</v>
      </c>
      <c r="F94" s="100">
        <f>+SUMIF(Hoja4!$B$3:$B$164,$A94,Hoja4!$J$3:$J$164)</f>
        <v>10471917299.540001</v>
      </c>
      <c r="G94" s="100">
        <f>+SUMIF(Hoja4!$B$3:$B$164,$A94,Hoja4!$K$3:$K$164)</f>
        <v>41067181.969999999</v>
      </c>
      <c r="H94" s="138">
        <f>+IFERROR(Hoja4!L90,0)</f>
        <v>0.99609367044703367</v>
      </c>
      <c r="I94" s="138">
        <f>+IFERROR(Hoja4!M90,0)</f>
        <v>3.9063295529664322E-3</v>
      </c>
    </row>
    <row r="95" spans="1:11" s="23" customFormat="1" x14ac:dyDescent="0.25">
      <c r="A95" s="73" t="str">
        <f>+Hoja4!B91</f>
        <v>E-20204</v>
      </c>
      <c r="B95" s="103" t="str">
        <f>+Hoja4!C91</f>
        <v>ALIM. PARA ANIMALES</v>
      </c>
      <c r="C95" s="100">
        <f>+SUMIF(Hoja4!$B$3:$B$164,$A95,Hoja4!$D$3:$D$164)</f>
        <v>12000000</v>
      </c>
      <c r="D95" s="100">
        <f>+SUMIF(Hoja4!$B$3:$B$164,$A95,Hoja4!$E$3:$E$164)</f>
        <v>12000000</v>
      </c>
      <c r="E95" s="100">
        <f>+SUMIF(Hoja4!$B$3:$B$164,$A95,Hoja4!$F$3:$F$164)</f>
        <v>0</v>
      </c>
      <c r="F95" s="100">
        <f>+SUMIF(Hoja4!$B$3:$B$164,$A95,Hoja4!$J$3:$J$164)</f>
        <v>11986975</v>
      </c>
      <c r="G95" s="100">
        <f>+SUMIF(Hoja4!$B$3:$B$164,$A95,Hoja4!$K$3:$K$164)</f>
        <v>13025</v>
      </c>
      <c r="H95" s="143">
        <f>+IFERROR(Hoja4!L91,0)</f>
        <v>0.99891458333333338</v>
      </c>
      <c r="I95" s="143">
        <f>+IFERROR(Hoja4!M91,0)</f>
        <v>1.0854166666666666E-3</v>
      </c>
      <c r="J95" s="128"/>
      <c r="K95" s="128"/>
    </row>
    <row r="96" spans="1:11" s="23" customFormat="1" x14ac:dyDescent="0.25">
      <c r="A96" s="71" t="str">
        <f>+Hoja4!B92</f>
        <v>E-203</v>
      </c>
      <c r="B96" s="102" t="str">
        <f>+Hoja4!C92</f>
        <v>MATER P.CONST Y MANT</v>
      </c>
      <c r="C96" s="72">
        <f>SUM(C97:C103)</f>
        <v>733474654</v>
      </c>
      <c r="D96" s="72">
        <f t="shared" ref="D96:G96" si="20">SUM(D97:D103)</f>
        <v>733474654</v>
      </c>
      <c r="E96" s="72">
        <f t="shared" si="20"/>
        <v>0</v>
      </c>
      <c r="F96" s="72">
        <f t="shared" si="20"/>
        <v>556309361.95000005</v>
      </c>
      <c r="G96" s="72">
        <f t="shared" si="20"/>
        <v>177165292.05000001</v>
      </c>
      <c r="H96" s="143">
        <f>+IFERROR(Hoja4!L92,0)</f>
        <v>0.75845751303902575</v>
      </c>
      <c r="I96" s="143">
        <f>+IFERROR(Hoja4!M92,0)</f>
        <v>0.24154248696097408</v>
      </c>
      <c r="J96" s="128"/>
      <c r="K96" s="128"/>
    </row>
    <row r="97" spans="1:11" x14ac:dyDescent="0.25">
      <c r="A97" s="73" t="str">
        <f>+Hoja4!B93</f>
        <v>E-20301</v>
      </c>
      <c r="B97" s="103" t="str">
        <f>+Hoja4!C93</f>
        <v>MATERIALES YPROD MET</v>
      </c>
      <c r="C97" s="100">
        <f>+SUMIF(Hoja4!$B$3:$B$164,$A97,Hoja4!$D$3:$D$164)</f>
        <v>294716374</v>
      </c>
      <c r="D97" s="100">
        <f>+SUMIF(Hoja4!$B$3:$B$164,$A97,Hoja4!$E$3:$E$164)</f>
        <v>294716374</v>
      </c>
      <c r="E97" s="100">
        <f>+SUMIF(Hoja4!$B$3:$B$164,$A97,Hoja4!$F$3:$F$164)</f>
        <v>0</v>
      </c>
      <c r="F97" s="100">
        <f>+SUMIF(Hoja4!$B$3:$B$164,$A97,Hoja4!$J$3:$J$164)</f>
        <v>253507758.13</v>
      </c>
      <c r="G97" s="100">
        <f>+SUMIF(Hoja4!$B$3:$B$164,$A97,Hoja4!$K$3:$K$164)</f>
        <v>41208615.869999997</v>
      </c>
      <c r="H97" s="138">
        <f>+IFERROR(Hoja4!L93,0)</f>
        <v>0.86017534312498023</v>
      </c>
      <c r="I97" s="138">
        <f>+IFERROR(Hoja4!M93,0)</f>
        <v>0.13982465687501977</v>
      </c>
    </row>
    <row r="98" spans="1:11" x14ac:dyDescent="0.25">
      <c r="A98" s="73" t="str">
        <f>+Hoja4!B94</f>
        <v>E-20302</v>
      </c>
      <c r="B98" s="103" t="str">
        <f>+Hoja4!C94</f>
        <v>MAT Y PROD.MIN.Y ASF</v>
      </c>
      <c r="C98" s="100">
        <f>+SUMIF(Hoja4!$B$3:$B$164,$A98,Hoja4!$D$3:$D$164)</f>
        <v>69168000</v>
      </c>
      <c r="D98" s="100">
        <f>+SUMIF(Hoja4!$B$3:$B$164,$A98,Hoja4!$E$3:$E$164)</f>
        <v>69168000</v>
      </c>
      <c r="E98" s="100">
        <f>+SUMIF(Hoja4!$B$3:$B$164,$A98,Hoja4!$F$3:$F$164)</f>
        <v>0</v>
      </c>
      <c r="F98" s="100">
        <f>+SUMIF(Hoja4!$B$3:$B$164,$A98,Hoja4!$J$3:$J$164)</f>
        <v>69120996.920000002</v>
      </c>
      <c r="G98" s="100">
        <f>+SUMIF(Hoja4!$B$3:$B$164,$A98,Hoja4!$K$3:$K$164)</f>
        <v>47003.08</v>
      </c>
      <c r="H98" s="138">
        <f>+IFERROR(Hoja4!L94,0)</f>
        <v>0.99932045049733986</v>
      </c>
      <c r="I98" s="138">
        <f>+IFERROR(Hoja4!M94,0)</f>
        <v>6.7954950266018973E-4</v>
      </c>
    </row>
    <row r="99" spans="1:11" x14ac:dyDescent="0.25">
      <c r="A99" s="73" t="str">
        <f>+Hoja4!B95</f>
        <v>E-20303</v>
      </c>
      <c r="B99" s="103" t="str">
        <f>+Hoja4!C95</f>
        <v>MADERA Y SUS DERIV</v>
      </c>
      <c r="C99" s="100">
        <f>+SUMIF(Hoja4!$B$3:$B$164,$A99,Hoja4!$D$3:$D$164)</f>
        <v>97694469</v>
      </c>
      <c r="D99" s="100">
        <f>+SUMIF(Hoja4!$B$3:$B$164,$A99,Hoja4!$E$3:$E$164)</f>
        <v>97694469</v>
      </c>
      <c r="E99" s="100">
        <f>+SUMIF(Hoja4!$B$3:$B$164,$A99,Hoja4!$F$3:$F$164)</f>
        <v>0</v>
      </c>
      <c r="F99" s="100">
        <f>+SUMIF(Hoja4!$B$3:$B$164,$A99,Hoja4!$J$3:$J$164)</f>
        <v>97577015.5</v>
      </c>
      <c r="G99" s="100">
        <f>+SUMIF(Hoja4!$B$3:$B$164,$A99,Hoja4!$K$3:$K$164)</f>
        <v>117453.5</v>
      </c>
      <c r="H99" s="138">
        <f>+IFERROR(Hoja4!L95,0)</f>
        <v>0.99879774667693833</v>
      </c>
      <c r="I99" s="138">
        <f>+IFERROR(Hoja4!M95,0)</f>
        <v>1.2022533230617181E-3</v>
      </c>
    </row>
    <row r="100" spans="1:11" x14ac:dyDescent="0.25">
      <c r="A100" s="73" t="str">
        <f>+Hoja4!B96</f>
        <v>E-20304</v>
      </c>
      <c r="B100" s="103" t="str">
        <f>+Hoja4!C96</f>
        <v>MAT.YPROD.ELÉC,TEL.C</v>
      </c>
      <c r="C100" s="100">
        <f>+SUMIF(Hoja4!$B$3:$B$164,$A100,Hoja4!$D$3:$D$164)</f>
        <v>153201637</v>
      </c>
      <c r="D100" s="100">
        <f>+SUMIF(Hoja4!$B$3:$B$164,$A100,Hoja4!$E$3:$E$164)</f>
        <v>153201637</v>
      </c>
      <c r="E100" s="100">
        <f>+SUMIF(Hoja4!$B$3:$B$164,$A100,Hoja4!$F$3:$F$164)</f>
        <v>0</v>
      </c>
      <c r="F100" s="100">
        <f>+SUMIF(Hoja4!$B$3:$B$164,$A100,Hoja4!$J$3:$J$164)</f>
        <v>40712640.760000005</v>
      </c>
      <c r="G100" s="100">
        <f>+SUMIF(Hoja4!$B$3:$B$164,$A100,Hoja4!$K$3:$K$164)</f>
        <v>112488996.24000001</v>
      </c>
      <c r="H100" s="138">
        <f>+IFERROR(Hoja4!L96,0)</f>
        <v>0.26574546824196144</v>
      </c>
      <c r="I100" s="138">
        <f>+IFERROR(Hoja4!M96,0)</f>
        <v>0.73425453175803868</v>
      </c>
    </row>
    <row r="101" spans="1:11" x14ac:dyDescent="0.25">
      <c r="A101" s="73" t="str">
        <f>+Hoja4!B97</f>
        <v>E-20305</v>
      </c>
      <c r="B101" s="103" t="str">
        <f>+Hoja4!C97</f>
        <v>MATER. Y PROD VIDRIO</v>
      </c>
      <c r="C101" s="100">
        <f>+SUMIF(Hoja4!$B$3:$B$164,$A101,Hoja4!$D$3:$D$164)</f>
        <v>7129000</v>
      </c>
      <c r="D101" s="100">
        <f>+SUMIF(Hoja4!$B$3:$B$164,$A101,Hoja4!$E$3:$E$164)</f>
        <v>7129000</v>
      </c>
      <c r="E101" s="100">
        <f>+SUMIF(Hoja4!$B$3:$B$164,$A101,Hoja4!$F$3:$F$164)</f>
        <v>0</v>
      </c>
      <c r="F101" s="100">
        <f>+SUMIF(Hoja4!$B$3:$B$164,$A101,Hoja4!$J$3:$J$164)</f>
        <v>7043000</v>
      </c>
      <c r="G101" s="100">
        <f>+SUMIF(Hoja4!$B$3:$B$164,$A101,Hoja4!$K$3:$K$164)</f>
        <v>86000</v>
      </c>
      <c r="H101" s="138">
        <f>+IFERROR(Hoja4!L97,0)</f>
        <v>0.98793659699817649</v>
      </c>
      <c r="I101" s="138">
        <f>+IFERROR(Hoja4!M97,0)</f>
        <v>1.2063403001823538E-2</v>
      </c>
    </row>
    <row r="102" spans="1:11" x14ac:dyDescent="0.25">
      <c r="A102" s="73" t="str">
        <f>+Hoja4!B98</f>
        <v>E-20306</v>
      </c>
      <c r="B102" s="103" t="str">
        <f>+Hoja4!C98</f>
        <v>MAT. Y PROD PLÁSTICO</v>
      </c>
      <c r="C102" s="100">
        <f>+SUMIF(Hoja4!$B$3:$B$164,$A102,Hoja4!$D$3:$D$164)</f>
        <v>85690514</v>
      </c>
      <c r="D102" s="100">
        <f>+SUMIF(Hoja4!$B$3:$B$164,$A102,Hoja4!$E$3:$E$164)</f>
        <v>85690514</v>
      </c>
      <c r="E102" s="100">
        <f>+SUMIF(Hoja4!$B$3:$B$164,$A102,Hoja4!$F$3:$F$164)</f>
        <v>0</v>
      </c>
      <c r="F102" s="100">
        <f>+SUMIF(Hoja4!$B$3:$B$164,$A102,Hoja4!$J$3:$J$164)</f>
        <v>65901394.640000001</v>
      </c>
      <c r="G102" s="100">
        <f>+SUMIF(Hoja4!$B$3:$B$164,$A102,Hoja4!$K$3:$K$164)</f>
        <v>19789119.359999999</v>
      </c>
      <c r="H102" s="138">
        <f>+IFERROR(Hoja4!L98,0)</f>
        <v>0.7690628934726661</v>
      </c>
      <c r="I102" s="138">
        <f>+IFERROR(Hoja4!M98,0)</f>
        <v>0.23093710652733393</v>
      </c>
    </row>
    <row r="103" spans="1:11" x14ac:dyDescent="0.25">
      <c r="A103" s="73" t="str">
        <f>+Hoja4!B99</f>
        <v>E-20399</v>
      </c>
      <c r="B103" s="103" t="str">
        <f>+Hoja4!C99</f>
        <v>OTR.MAT.YP.USO CONST</v>
      </c>
      <c r="C103" s="100">
        <f>+SUMIF(Hoja4!$B$3:$B$164,$A103,Hoja4!$D$3:$D$164)</f>
        <v>25874660</v>
      </c>
      <c r="D103" s="100">
        <f>+SUMIF(Hoja4!$B$3:$B$164,$A103,Hoja4!$E$3:$E$164)</f>
        <v>25874660</v>
      </c>
      <c r="E103" s="100">
        <f>+SUMIF(Hoja4!$B$3:$B$164,$A103,Hoja4!$F$3:$F$164)</f>
        <v>0</v>
      </c>
      <c r="F103" s="100">
        <f>+SUMIF(Hoja4!$B$3:$B$164,$A103,Hoja4!$J$3:$J$164)</f>
        <v>22446556</v>
      </c>
      <c r="G103" s="100">
        <f>+SUMIF(Hoja4!$B$3:$B$164,$A103,Hoja4!$K$3:$K$164)</f>
        <v>3428104</v>
      </c>
      <c r="H103" s="138">
        <f>+IFERROR(Hoja4!L99,0)</f>
        <v>0.86751114797257234</v>
      </c>
      <c r="I103" s="138">
        <f>+IFERROR(Hoja4!M99,0)</f>
        <v>0.13248885202742761</v>
      </c>
    </row>
    <row r="104" spans="1:11" s="23" customFormat="1" x14ac:dyDescent="0.25">
      <c r="A104" s="71" t="str">
        <f>+Hoja4!B100</f>
        <v>E-204</v>
      </c>
      <c r="B104" s="102" t="str">
        <f>+Hoja4!C100</f>
        <v>HERRAM REPUE Y ACCES</v>
      </c>
      <c r="C104" s="72">
        <f>SUM(C105:C106)</f>
        <v>247742500</v>
      </c>
      <c r="D104" s="72">
        <f t="shared" ref="D104:G104" si="21">SUM(D105:D106)</f>
        <v>247742500</v>
      </c>
      <c r="E104" s="72">
        <f t="shared" si="21"/>
        <v>0</v>
      </c>
      <c r="F104" s="72">
        <f t="shared" si="21"/>
        <v>193833405.33999997</v>
      </c>
      <c r="G104" s="72">
        <f t="shared" si="21"/>
        <v>53909094.659999996</v>
      </c>
      <c r="H104" s="143">
        <f>+IFERROR(Hoja4!L100,0)</f>
        <v>0.78239868145352542</v>
      </c>
      <c r="I104" s="143">
        <f>+IFERROR(Hoja4!M100,0)</f>
        <v>0.21760131854647469</v>
      </c>
      <c r="J104" s="128"/>
      <c r="K104" s="128"/>
    </row>
    <row r="105" spans="1:11" x14ac:dyDescent="0.25">
      <c r="A105" s="73" t="str">
        <f>+Hoja4!B101</f>
        <v>E-20401</v>
      </c>
      <c r="B105" s="103" t="str">
        <f>+Hoja4!C101</f>
        <v>HERRAM.E INSTRUMENTO</v>
      </c>
      <c r="C105" s="100">
        <f>+SUMIF(Hoja4!$B$3:$B$164,$A105,Hoja4!$D$3:$D$164)</f>
        <v>51521999</v>
      </c>
      <c r="D105" s="100">
        <f>+SUMIF(Hoja4!$B$3:$B$164,$A105,Hoja4!$E$3:$E$164)</f>
        <v>51521999</v>
      </c>
      <c r="E105" s="100">
        <f>+SUMIF(Hoja4!$B$3:$B$164,$A105,Hoja4!$F$3:$F$164)</f>
        <v>0</v>
      </c>
      <c r="F105" s="100">
        <f>+SUMIF(Hoja4!$B$3:$B$164,$A105,Hoja4!$J$3:$J$164)</f>
        <v>41640287.019999996</v>
      </c>
      <c r="G105" s="100">
        <f>+SUMIF(Hoja4!$B$3:$B$164,$A105,Hoja4!$K$3:$K$164)</f>
        <v>9881711.9800000004</v>
      </c>
      <c r="H105" s="138">
        <f>+IFERROR(Hoja4!L101,0)</f>
        <v>0.80820402601226704</v>
      </c>
      <c r="I105" s="138">
        <f>+IFERROR(Hoja4!M101,0)</f>
        <v>0.1917959739877329</v>
      </c>
    </row>
    <row r="106" spans="1:11" x14ac:dyDescent="0.25">
      <c r="A106" s="73" t="str">
        <f>+Hoja4!B102</f>
        <v>E-20402</v>
      </c>
      <c r="B106" s="103" t="str">
        <f>+Hoja4!C102</f>
        <v>REP.Y ACCESORIOS</v>
      </c>
      <c r="C106" s="100">
        <f>+SUMIF(Hoja4!$B$3:$B$164,$A106,Hoja4!$D$3:$D$164)</f>
        <v>196220501</v>
      </c>
      <c r="D106" s="100">
        <f>+SUMIF(Hoja4!$B$3:$B$164,$A106,Hoja4!$E$3:$E$164)</f>
        <v>196220501</v>
      </c>
      <c r="E106" s="100">
        <f>+SUMIF(Hoja4!$B$3:$B$164,$A106,Hoja4!$F$3:$F$164)</f>
        <v>0</v>
      </c>
      <c r="F106" s="100">
        <f>+SUMIF(Hoja4!$B$3:$B$164,$A106,Hoja4!$J$3:$J$164)</f>
        <v>152193118.31999999</v>
      </c>
      <c r="G106" s="100">
        <f>+SUMIF(Hoja4!$B$3:$B$164,$A106,Hoja4!$K$3:$K$164)</f>
        <v>44027382.68</v>
      </c>
      <c r="H106" s="138">
        <f>+IFERROR(Hoja4!L102,0)</f>
        <v>0.77562292188826887</v>
      </c>
      <c r="I106" s="138">
        <f>+IFERROR(Hoja4!M102,0)</f>
        <v>0.22437707811173105</v>
      </c>
    </row>
    <row r="107" spans="1:11" s="23" customFormat="1" x14ac:dyDescent="0.25">
      <c r="A107" s="71" t="str">
        <f>+Hoja4!B103</f>
        <v>E-299</v>
      </c>
      <c r="B107" s="102" t="str">
        <f>+Hoja4!C103</f>
        <v>ÚTILES MAT Y SUM DIV</v>
      </c>
      <c r="C107" s="72">
        <f>SUM(C108:C115)</f>
        <v>2968596657</v>
      </c>
      <c r="D107" s="72">
        <f t="shared" ref="D107:G107" si="22">SUM(D108:D115)</f>
        <v>2968596657</v>
      </c>
      <c r="E107" s="72">
        <f t="shared" si="22"/>
        <v>0</v>
      </c>
      <c r="F107" s="72">
        <f t="shared" si="22"/>
        <v>2742702367.5799999</v>
      </c>
      <c r="G107" s="72">
        <f t="shared" si="22"/>
        <v>225894289.41999999</v>
      </c>
      <c r="H107" s="143">
        <f>+IFERROR(Hoja4!L103,0)</f>
        <v>0.92390536151573921</v>
      </c>
      <c r="I107" s="143">
        <f>+IFERROR(Hoja4!M103,0)</f>
        <v>7.6094638484260749E-2</v>
      </c>
      <c r="J107" s="128"/>
      <c r="K107" s="128"/>
    </row>
    <row r="108" spans="1:11" x14ac:dyDescent="0.25">
      <c r="A108" s="73" t="str">
        <f>+Hoja4!B104</f>
        <v>E-29901</v>
      </c>
      <c r="B108" s="103" t="str">
        <f>+Hoja4!C104</f>
        <v>ÚT.Y MAT.OF.Y COMP.</v>
      </c>
      <c r="C108" s="100">
        <f>+SUMIF(Hoja4!$B$3:$B$164,$A108,Hoja4!$D$3:$D$164)</f>
        <v>21676366</v>
      </c>
      <c r="D108" s="100">
        <f>+SUMIF(Hoja4!$B$3:$B$164,$A108,Hoja4!$E$3:$E$164)</f>
        <v>21676366</v>
      </c>
      <c r="E108" s="100">
        <f>+SUMIF(Hoja4!$B$3:$B$164,$A108,Hoja4!$F$3:$F$164)</f>
        <v>0</v>
      </c>
      <c r="F108" s="100">
        <f>+SUMIF(Hoja4!$B$3:$B$164,$A108,Hoja4!$J$3:$J$164)</f>
        <v>12880533.680000002</v>
      </c>
      <c r="G108" s="100">
        <f>+SUMIF(Hoja4!$B$3:$B$164,$A108,Hoja4!$K$3:$K$164)</f>
        <v>8795832.3200000003</v>
      </c>
      <c r="H108" s="138">
        <f>+IFERROR(Hoja4!L104,0)</f>
        <v>0.59422016033499347</v>
      </c>
      <c r="I108" s="138">
        <f>+IFERROR(Hoja4!M104,0)</f>
        <v>0.40577983966500658</v>
      </c>
    </row>
    <row r="109" spans="1:11" x14ac:dyDescent="0.25">
      <c r="A109" s="73" t="str">
        <f>+Hoja4!B105</f>
        <v>E-29902</v>
      </c>
      <c r="B109" s="103" t="str">
        <f>+Hoja4!C105</f>
        <v>UT.Y MAT.MÉD,H.Y INV</v>
      </c>
      <c r="C109" s="100">
        <f>+SUMIF(Hoja4!$B$3:$B$164,$A109,Hoja4!$D$3:$D$164)</f>
        <v>25945268</v>
      </c>
      <c r="D109" s="100">
        <f>+SUMIF(Hoja4!$B$3:$B$164,$A109,Hoja4!$E$3:$E$164)</f>
        <v>25945268</v>
      </c>
      <c r="E109" s="100">
        <f>+SUMIF(Hoja4!$B$3:$B$164,$A109,Hoja4!$F$3:$F$164)</f>
        <v>0</v>
      </c>
      <c r="F109" s="100">
        <f>+SUMIF(Hoja4!$B$3:$B$164,$A109,Hoja4!$J$3:$J$164)</f>
        <v>20121474.32</v>
      </c>
      <c r="G109" s="100">
        <f>+SUMIF(Hoja4!$B$3:$B$164,$A109,Hoja4!$K$3:$K$164)</f>
        <v>5823793.6800000006</v>
      </c>
      <c r="H109" s="138">
        <f>+IFERROR(Hoja4!L105,0)</f>
        <v>0.77553542017758303</v>
      </c>
      <c r="I109" s="138">
        <f>+IFERROR(Hoja4!M105,0)</f>
        <v>0.22446457982241697</v>
      </c>
    </row>
    <row r="110" spans="1:11" x14ac:dyDescent="0.25">
      <c r="A110" s="73" t="str">
        <f>+Hoja4!B106</f>
        <v>E-29903</v>
      </c>
      <c r="B110" s="103" t="str">
        <f>+Hoja4!C106</f>
        <v>PROD.PAPEL,CART.EIMP</v>
      </c>
      <c r="C110" s="100">
        <f>+SUMIF(Hoja4!$B$3:$B$164,$A110,Hoja4!$D$3:$D$164)</f>
        <v>260806747</v>
      </c>
      <c r="D110" s="100">
        <f>+SUMIF(Hoja4!$B$3:$B$164,$A110,Hoja4!$E$3:$E$164)</f>
        <v>260806747</v>
      </c>
      <c r="E110" s="100">
        <f>+SUMIF(Hoja4!$B$3:$B$164,$A110,Hoja4!$F$3:$F$164)</f>
        <v>0</v>
      </c>
      <c r="F110" s="100">
        <f>+SUMIF(Hoja4!$B$3:$B$164,$A110,Hoja4!$J$3:$J$164)</f>
        <v>179153168.41</v>
      </c>
      <c r="G110" s="100">
        <f>+SUMIF(Hoja4!$B$3:$B$164,$A110,Hoja4!$K$3:$K$164)</f>
        <v>81653578.590000004</v>
      </c>
      <c r="H110" s="138">
        <f>+IFERROR(Hoja4!L106,0)</f>
        <v>0.68691922456285226</v>
      </c>
      <c r="I110" s="138">
        <f>+IFERROR(Hoja4!M106,0)</f>
        <v>0.31308077543714774</v>
      </c>
    </row>
    <row r="111" spans="1:11" x14ac:dyDescent="0.25">
      <c r="A111" s="73" t="str">
        <f>+Hoja4!B107</f>
        <v>E-29904</v>
      </c>
      <c r="B111" s="103" t="str">
        <f>+Hoja4!C107</f>
        <v>TEXTILES Y VESTUARIO</v>
      </c>
      <c r="C111" s="100">
        <f>+SUMIF(Hoja4!$B$3:$B$164,$A111,Hoja4!$D$3:$D$164)</f>
        <v>1200239641</v>
      </c>
      <c r="D111" s="100">
        <f>+SUMIF(Hoja4!$B$3:$B$164,$A111,Hoja4!$E$3:$E$164)</f>
        <v>1200239641</v>
      </c>
      <c r="E111" s="100">
        <f>+SUMIF(Hoja4!$B$3:$B$164,$A111,Hoja4!$F$3:$F$164)</f>
        <v>0</v>
      </c>
      <c r="F111" s="100">
        <f>+SUMIF(Hoja4!$B$3:$B$164,$A111,Hoja4!$J$3:$J$164)</f>
        <v>1152612218.8899999</v>
      </c>
      <c r="G111" s="100">
        <f>+SUMIF(Hoja4!$B$3:$B$164,$A111,Hoja4!$K$3:$K$164)</f>
        <v>47627422.109999999</v>
      </c>
      <c r="H111" s="138">
        <f>+IFERROR(Hoja4!L107,0)</f>
        <v>0.96031840602238516</v>
      </c>
      <c r="I111" s="138">
        <f>+IFERROR(Hoja4!M107,0)</f>
        <v>3.9681593977614678E-2</v>
      </c>
    </row>
    <row r="112" spans="1:11" x14ac:dyDescent="0.25">
      <c r="A112" s="73" t="str">
        <f>+Hoja4!B108</f>
        <v>E-29905</v>
      </c>
      <c r="B112" s="103" t="str">
        <f>+Hoja4!C108</f>
        <v>ÚTILES Y MATER.LIMP</v>
      </c>
      <c r="C112" s="100">
        <f>+SUMIF(Hoja4!$B$3:$B$164,$A112,Hoja4!$D$3:$D$164)</f>
        <v>332221981</v>
      </c>
      <c r="D112" s="100">
        <f>+SUMIF(Hoja4!$B$3:$B$164,$A112,Hoja4!$E$3:$E$164)</f>
        <v>332221981</v>
      </c>
      <c r="E112" s="100">
        <f>+SUMIF(Hoja4!$B$3:$B$164,$A112,Hoja4!$F$3:$F$164)</f>
        <v>0</v>
      </c>
      <c r="F112" s="100">
        <f>+SUMIF(Hoja4!$B$3:$B$164,$A112,Hoja4!$J$3:$J$164)</f>
        <v>316640081.37</v>
      </c>
      <c r="G112" s="100">
        <f>+SUMIF(Hoja4!$B$3:$B$164,$A112,Hoja4!$K$3:$K$164)</f>
        <v>15581899.630000001</v>
      </c>
      <c r="H112" s="138">
        <f>+IFERROR(Hoja4!L108,0)</f>
        <v>0.95309792692494966</v>
      </c>
      <c r="I112" s="138">
        <f>+IFERROR(Hoja4!M108,0)</f>
        <v>4.6902073075050385E-2</v>
      </c>
    </row>
    <row r="113" spans="1:11" x14ac:dyDescent="0.25">
      <c r="A113" s="73" t="str">
        <f>+Hoja4!B109</f>
        <v>E-29906</v>
      </c>
      <c r="B113" s="103" t="str">
        <f>+Hoja4!C109</f>
        <v>ÚTILES YMAT.RESG.SEG</v>
      </c>
      <c r="C113" s="100">
        <f>+SUMIF(Hoja4!$B$3:$B$164,$A113,Hoja4!$D$3:$D$164)</f>
        <v>784617967</v>
      </c>
      <c r="D113" s="100">
        <f>+SUMIF(Hoja4!$B$3:$B$164,$A113,Hoja4!$E$3:$E$164)</f>
        <v>784617967</v>
      </c>
      <c r="E113" s="100">
        <f>+SUMIF(Hoja4!$B$3:$B$164,$A113,Hoja4!$F$3:$F$164)</f>
        <v>0</v>
      </c>
      <c r="F113" s="100">
        <f>+SUMIF(Hoja4!$B$3:$B$164,$A113,Hoja4!$J$3:$J$164)</f>
        <v>777382145.70000005</v>
      </c>
      <c r="G113" s="100">
        <f>+SUMIF(Hoja4!$B$3:$B$164,$A113,Hoja4!$K$3:$K$164)</f>
        <v>7235821.2999999998</v>
      </c>
      <c r="H113" s="138">
        <f>+IFERROR(Hoja4!L109,0)</f>
        <v>0.99077790516617126</v>
      </c>
      <c r="I113" s="138">
        <f>+IFERROR(Hoja4!M109,0)</f>
        <v>9.2220948338288568E-3</v>
      </c>
    </row>
    <row r="114" spans="1:11" x14ac:dyDescent="0.25">
      <c r="A114" s="73" t="str">
        <f>+Hoja4!B110</f>
        <v>E-29907</v>
      </c>
      <c r="B114" s="103" t="str">
        <f>+Hoja4!C110</f>
        <v>ÚTILES YMAT.COC.YCOM</v>
      </c>
      <c r="C114" s="100">
        <f>+SUMIF(Hoja4!$B$3:$B$164,$A114,Hoja4!$D$3:$D$164)</f>
        <v>112559000</v>
      </c>
      <c r="D114" s="100">
        <f>+SUMIF(Hoja4!$B$3:$B$164,$A114,Hoja4!$E$3:$E$164)</f>
        <v>112559000</v>
      </c>
      <c r="E114" s="100">
        <f>+SUMIF(Hoja4!$B$3:$B$164,$A114,Hoja4!$F$3:$F$164)</f>
        <v>0</v>
      </c>
      <c r="F114" s="100">
        <f>+SUMIF(Hoja4!$B$3:$B$164,$A114,Hoja4!$J$3:$J$164)</f>
        <v>97029382.650000006</v>
      </c>
      <c r="G114" s="100">
        <f>+SUMIF(Hoja4!$B$3:$B$164,$A114,Hoja4!$K$3:$K$164)</f>
        <v>15529617.35</v>
      </c>
      <c r="H114" s="138">
        <f>+IFERROR(Hoja4!L110,0)</f>
        <v>0.86203131379987386</v>
      </c>
      <c r="I114" s="138">
        <f>+IFERROR(Hoja4!M110,0)</f>
        <v>0.13796868620012614</v>
      </c>
    </row>
    <row r="115" spans="1:11" x14ac:dyDescent="0.25">
      <c r="A115" s="73" t="str">
        <f>+Hoja4!B111</f>
        <v>E-29999</v>
      </c>
      <c r="B115" s="103" t="str">
        <f>+Hoja4!C111</f>
        <v>OTR.UT,MAT Y SUM.DIV</v>
      </c>
      <c r="C115" s="100">
        <f>+SUMIF(Hoja4!$B$3:$B$164,$A115,Hoja4!$D$3:$D$164)</f>
        <v>230529687</v>
      </c>
      <c r="D115" s="100">
        <f>+SUMIF(Hoja4!$B$3:$B$164,$A115,Hoja4!$E$3:$E$164)</f>
        <v>230529687</v>
      </c>
      <c r="E115" s="100">
        <f>+SUMIF(Hoja4!$B$3:$B$164,$A115,Hoja4!$F$3:$F$164)</f>
        <v>0</v>
      </c>
      <c r="F115" s="100">
        <f>+SUMIF(Hoja4!$B$3:$B$164,$A115,Hoja4!$J$3:$J$164)</f>
        <v>186883362.56</v>
      </c>
      <c r="G115" s="100">
        <f>+SUMIF(Hoja4!$B$3:$B$164,$A115,Hoja4!$K$3:$K$164)</f>
        <v>43646324.439999998</v>
      </c>
      <c r="H115" s="138">
        <f>+IFERROR(Hoja4!L111,0)</f>
        <v>0.81066939790709036</v>
      </c>
      <c r="I115" s="138">
        <f>+IFERROR(Hoja4!M111,0)</f>
        <v>0.18933060209290961</v>
      </c>
    </row>
    <row r="116" spans="1:11" s="113" customFormat="1" x14ac:dyDescent="0.25">
      <c r="A116" s="148" t="str">
        <f>+Hoja4!B112</f>
        <v>E-5</v>
      </c>
      <c r="B116" s="149" t="str">
        <f>+Hoja4!C112</f>
        <v>BIENES DURADEROS</v>
      </c>
      <c r="C116" s="150">
        <f>+C117+C126+C129</f>
        <v>3939399444</v>
      </c>
      <c r="D116" s="150">
        <f t="shared" ref="D116:G116" si="23">+D117+D126+D129</f>
        <v>3939399444</v>
      </c>
      <c r="E116" s="150">
        <f t="shared" si="23"/>
        <v>0</v>
      </c>
      <c r="F116" s="150">
        <f t="shared" si="23"/>
        <v>3574031757.1900001</v>
      </c>
      <c r="G116" s="150">
        <f t="shared" si="23"/>
        <v>365367686.81</v>
      </c>
      <c r="H116" s="151">
        <f>+IFERROR(Hoja4!L112,0)</f>
        <v>0.90725294756121211</v>
      </c>
      <c r="I116" s="151">
        <f>+IFERROR(Hoja4!M112,0)</f>
        <v>9.2747052438787933E-2</v>
      </c>
      <c r="J116" s="129"/>
      <c r="K116" s="129">
        <f>+C116-Estado!C146</f>
        <v>0</v>
      </c>
    </row>
    <row r="117" spans="1:11" s="23" customFormat="1" x14ac:dyDescent="0.25">
      <c r="A117" s="71" t="str">
        <f>+Hoja4!B113</f>
        <v>E-501</v>
      </c>
      <c r="B117" s="102" t="str">
        <f>+Hoja4!C113</f>
        <v>MAQ, EQUIPO Y MOB</v>
      </c>
      <c r="C117" s="72">
        <f>SUM(C118:C125)</f>
        <v>1660534663</v>
      </c>
      <c r="D117" s="72">
        <f t="shared" ref="D117:G117" si="24">SUM(D118:D125)</f>
        <v>1660534663</v>
      </c>
      <c r="E117" s="72">
        <f t="shared" si="24"/>
        <v>0</v>
      </c>
      <c r="F117" s="72">
        <f t="shared" si="24"/>
        <v>1537942208.71</v>
      </c>
      <c r="G117" s="72">
        <f t="shared" si="24"/>
        <v>122592454.29000001</v>
      </c>
      <c r="H117" s="143">
        <f>+IFERROR(Hoja4!L113,0)</f>
        <v>0.92617290260685137</v>
      </c>
      <c r="I117" s="143">
        <f>+IFERROR(Hoja4!M113,0)</f>
        <v>7.382709739314848E-2</v>
      </c>
      <c r="J117" s="128"/>
      <c r="K117" s="128"/>
    </row>
    <row r="118" spans="1:11" x14ac:dyDescent="0.25">
      <c r="A118" s="73" t="str">
        <f>+Hoja4!B114</f>
        <v>E-50101</v>
      </c>
      <c r="B118" s="103" t="str">
        <f>+Hoja4!C114</f>
        <v>MAQ.Y EQ. PRODUCCIÓN</v>
      </c>
      <c r="C118" s="100">
        <f>+SUMIF(Hoja4!$B$3:$B$164,$A118,Hoja4!$D$3:$D$164)</f>
        <v>59455528</v>
      </c>
      <c r="D118" s="100">
        <f>+SUMIF(Hoja4!$B$3:$B$164,$A118,Hoja4!$E$3:$E$164)</f>
        <v>59455528</v>
      </c>
      <c r="E118" s="100">
        <f>+SUMIF(Hoja4!$B$3:$B$164,$A118,Hoja4!$F$3:$F$164)</f>
        <v>0</v>
      </c>
      <c r="F118" s="100">
        <f>+SUMIF(Hoja4!$B$3:$B$164,$A118,Hoja4!$J$3:$J$164)</f>
        <v>55229745.359999999</v>
      </c>
      <c r="G118" s="100">
        <f>+SUMIF(Hoja4!$B$3:$B$164,$A118,Hoja4!$K$3:$K$164)</f>
        <v>4225782.6400000006</v>
      </c>
      <c r="H118" s="138">
        <f>+IFERROR(Hoja4!L114,0)</f>
        <v>0.92892531977850734</v>
      </c>
      <c r="I118" s="138">
        <f>+IFERROR(Hoja4!M114,0)</f>
        <v>7.1074680221492617E-2</v>
      </c>
    </row>
    <row r="119" spans="1:11" x14ac:dyDescent="0.25">
      <c r="A119" s="73" t="str">
        <f>+Hoja4!B115</f>
        <v>E-50102</v>
      </c>
      <c r="B119" s="103" t="str">
        <f>+Hoja4!C115</f>
        <v>EQUIPO DE TRANSPORTE</v>
      </c>
      <c r="C119" s="100">
        <f>+SUMIF(Hoja4!$B$3:$B$164,$A119,Hoja4!$D$3:$D$164)</f>
        <v>187115000</v>
      </c>
      <c r="D119" s="100">
        <f>+SUMIF(Hoja4!$B$3:$B$164,$A119,Hoja4!$E$3:$E$164)</f>
        <v>187115000</v>
      </c>
      <c r="E119" s="100">
        <f>+SUMIF(Hoja4!$B$3:$B$164,$A119,Hoja4!$F$3:$F$164)</f>
        <v>0</v>
      </c>
      <c r="F119" s="100">
        <f>+SUMIF(Hoja4!$B$3:$B$164,$A119,Hoja4!$J$3:$J$164)</f>
        <v>181447312.47</v>
      </c>
      <c r="G119" s="100">
        <f>+SUMIF(Hoja4!$B$3:$B$164,$A119,Hoja4!$K$3:$K$164)</f>
        <v>5667687.5299999993</v>
      </c>
      <c r="H119" s="138">
        <f>+IFERROR(Hoja4!L115,0)</f>
        <v>0.96971013799000616</v>
      </c>
      <c r="I119" s="138">
        <f>+IFERROR(Hoja4!M115,0)</f>
        <v>3.028986200999385E-2</v>
      </c>
    </row>
    <row r="120" spans="1:11" x14ac:dyDescent="0.25">
      <c r="A120" s="73" t="str">
        <f>+Hoja4!B116</f>
        <v>E-50103</v>
      </c>
      <c r="B120" s="103" t="str">
        <f>+Hoja4!C116</f>
        <v>EQ. DE COMUNICACIÓN</v>
      </c>
      <c r="C120" s="100">
        <f>+SUMIF(Hoja4!$B$3:$B$164,$A120,Hoja4!$D$3:$D$164)</f>
        <v>304861325</v>
      </c>
      <c r="D120" s="100">
        <f>+SUMIF(Hoja4!$B$3:$B$164,$A120,Hoja4!$E$3:$E$164)</f>
        <v>304861325</v>
      </c>
      <c r="E120" s="100">
        <f>+SUMIF(Hoja4!$B$3:$B$164,$A120,Hoja4!$F$3:$F$164)</f>
        <v>0</v>
      </c>
      <c r="F120" s="100">
        <f>+SUMIF(Hoja4!$B$3:$B$164,$A120,Hoja4!$J$3:$J$164)</f>
        <v>276301790.52999997</v>
      </c>
      <c r="G120" s="100">
        <f>+SUMIF(Hoja4!$B$3:$B$164,$A120,Hoja4!$K$3:$K$164)</f>
        <v>28559534.469999999</v>
      </c>
      <c r="H120" s="138">
        <f>+IFERROR(Hoja4!L116,0)</f>
        <v>0.90631958819309066</v>
      </c>
      <c r="I120" s="138">
        <f>+IFERROR(Hoja4!M116,0)</f>
        <v>9.3680411806909253E-2</v>
      </c>
    </row>
    <row r="121" spans="1:11" x14ac:dyDescent="0.25">
      <c r="A121" s="73" t="str">
        <f>+Hoja4!B117</f>
        <v>E-50104</v>
      </c>
      <c r="B121" s="103" t="str">
        <f>+Hoja4!C117</f>
        <v>EQUIPO Y MOB. OFIC.</v>
      </c>
      <c r="C121" s="100">
        <f>+SUMIF(Hoja4!$B$3:$B$164,$A121,Hoja4!$D$3:$D$164)</f>
        <v>139093410</v>
      </c>
      <c r="D121" s="100">
        <f>+SUMIF(Hoja4!$B$3:$B$164,$A121,Hoja4!$E$3:$E$164)</f>
        <v>139093410</v>
      </c>
      <c r="E121" s="100">
        <f>+SUMIF(Hoja4!$B$3:$B$164,$A121,Hoja4!$F$3:$F$164)</f>
        <v>0</v>
      </c>
      <c r="F121" s="100">
        <f>+SUMIF(Hoja4!$B$3:$B$164,$A121,Hoja4!$J$3:$J$164)</f>
        <v>111977141.55</v>
      </c>
      <c r="G121" s="100">
        <f>+SUMIF(Hoja4!$B$3:$B$164,$A121,Hoja4!$K$3:$K$164)</f>
        <v>27116268.449999999</v>
      </c>
      <c r="H121" s="138">
        <f>+IFERROR(Hoja4!L117,0)</f>
        <v>0.80504994125889928</v>
      </c>
      <c r="I121" s="138">
        <f>+IFERROR(Hoja4!M117,0)</f>
        <v>0.19495005874110066</v>
      </c>
    </row>
    <row r="122" spans="1:11" x14ac:dyDescent="0.25">
      <c r="A122" s="73" t="str">
        <f>+Hoja4!B118</f>
        <v>E-50105</v>
      </c>
      <c r="B122" s="103" t="str">
        <f>+Hoja4!C118</f>
        <v>EQ.Y PROGR. CÓMPUTO</v>
      </c>
      <c r="C122" s="100">
        <f>+SUMIF(Hoja4!$B$3:$B$164,$A122,Hoja4!$D$3:$D$164)</f>
        <v>215530400</v>
      </c>
      <c r="D122" s="100">
        <f>+SUMIF(Hoja4!$B$3:$B$164,$A122,Hoja4!$E$3:$E$164)</f>
        <v>215530400</v>
      </c>
      <c r="E122" s="100">
        <f>+SUMIF(Hoja4!$B$3:$B$164,$A122,Hoja4!$F$3:$F$164)</f>
        <v>0</v>
      </c>
      <c r="F122" s="100">
        <f>+SUMIF(Hoja4!$B$3:$B$164,$A122,Hoja4!$J$3:$J$164)</f>
        <v>203556519.78000003</v>
      </c>
      <c r="G122" s="100">
        <f>+SUMIF(Hoja4!$B$3:$B$164,$A122,Hoja4!$K$3:$K$164)</f>
        <v>11973880.220000001</v>
      </c>
      <c r="H122" s="138">
        <f>+IFERROR(Hoja4!L118,0)</f>
        <v>0.94444458777044926</v>
      </c>
      <c r="I122" s="138">
        <f>+IFERROR(Hoja4!M118,0)</f>
        <v>5.5555412229550918E-2</v>
      </c>
    </row>
    <row r="123" spans="1:11" x14ac:dyDescent="0.25">
      <c r="A123" s="73" t="str">
        <f>+Hoja4!B119</f>
        <v>E-50106</v>
      </c>
      <c r="B123" s="103" t="str">
        <f>+Hoja4!C119</f>
        <v>EQ.SANIT, LAB. E INV</v>
      </c>
      <c r="C123" s="100">
        <f>+SUMIF(Hoja4!$B$3:$B$164,$A123,Hoja4!$D$3:$D$164)</f>
        <v>58305000</v>
      </c>
      <c r="D123" s="100">
        <f>+SUMIF(Hoja4!$B$3:$B$164,$A123,Hoja4!$E$3:$E$164)</f>
        <v>58305000</v>
      </c>
      <c r="E123" s="100">
        <f>+SUMIF(Hoja4!$B$3:$B$164,$A123,Hoja4!$F$3:$F$164)</f>
        <v>0</v>
      </c>
      <c r="F123" s="100">
        <f>+SUMIF(Hoja4!$B$3:$B$164,$A123,Hoja4!$J$3:$J$164)</f>
        <v>57141231.060000002</v>
      </c>
      <c r="G123" s="100">
        <f>+SUMIF(Hoja4!$B$3:$B$164,$A123,Hoja4!$K$3:$K$164)</f>
        <v>1163768.94</v>
      </c>
      <c r="H123" s="138">
        <f>+IFERROR(Hoja4!L119,0)</f>
        <v>0.98003998044764606</v>
      </c>
      <c r="I123" s="138">
        <f>+IFERROR(Hoja4!M119,0)</f>
        <v>1.9960019552353998E-2</v>
      </c>
    </row>
    <row r="124" spans="1:11" x14ac:dyDescent="0.25">
      <c r="A124" s="73" t="str">
        <f>+Hoja4!B120</f>
        <v>E-50107</v>
      </c>
      <c r="B124" s="103" t="str">
        <f>+Hoja4!C120</f>
        <v>EQ.YMOB.EDUC,DEP.Y R</v>
      </c>
      <c r="C124" s="100">
        <f>+SUMIF(Hoja4!$B$3:$B$164,$A124,Hoja4!$D$3:$D$164)</f>
        <v>8076000</v>
      </c>
      <c r="D124" s="100">
        <f>+SUMIF(Hoja4!$B$3:$B$164,$A124,Hoja4!$E$3:$E$164)</f>
        <v>8076000</v>
      </c>
      <c r="E124" s="100">
        <f>+SUMIF(Hoja4!$B$3:$B$164,$A124,Hoja4!$F$3:$F$164)</f>
        <v>0</v>
      </c>
      <c r="F124" s="100">
        <f>+SUMIF(Hoja4!$B$3:$B$164,$A124,Hoja4!$J$3:$J$164)</f>
        <v>7360739</v>
      </c>
      <c r="G124" s="100">
        <f>+SUMIF(Hoja4!$B$3:$B$164,$A124,Hoja4!$K$3:$K$164)</f>
        <v>715261</v>
      </c>
      <c r="H124" s="138">
        <f>+IFERROR(Hoja4!L120,0)</f>
        <v>0.91143375433382867</v>
      </c>
      <c r="I124" s="138">
        <f>+IFERROR(Hoja4!M120,0)</f>
        <v>8.856624566617137E-2</v>
      </c>
    </row>
    <row r="125" spans="1:11" x14ac:dyDescent="0.25">
      <c r="A125" s="73" t="str">
        <f>+Hoja4!B121</f>
        <v>E-50199</v>
      </c>
      <c r="B125" s="103" t="str">
        <f>+Hoja4!C121</f>
        <v>MAQ,EQ Y MOV.DIVERSO</v>
      </c>
      <c r="C125" s="100">
        <f>+SUMIF(Hoja4!$B$3:$B$164,$A125,Hoja4!$D$3:$D$164)</f>
        <v>688098000</v>
      </c>
      <c r="D125" s="100">
        <f>+SUMIF(Hoja4!$B$3:$B$164,$A125,Hoja4!$E$3:$E$164)</f>
        <v>688098000</v>
      </c>
      <c r="E125" s="100">
        <f>+SUMIF(Hoja4!$B$3:$B$164,$A125,Hoja4!$F$3:$F$164)</f>
        <v>0</v>
      </c>
      <c r="F125" s="100">
        <f>+SUMIF(Hoja4!$B$3:$B$164,$A125,Hoja4!$J$3:$J$164)</f>
        <v>644927728.96000004</v>
      </c>
      <c r="G125" s="100">
        <f>+SUMIF(Hoja4!$B$3:$B$164,$A125,Hoja4!$K$3:$K$164)</f>
        <v>43170271.040000007</v>
      </c>
      <c r="H125" s="138">
        <f>+IFERROR(Hoja4!L121,0)</f>
        <v>0.93726144961909497</v>
      </c>
      <c r="I125" s="138">
        <f>+IFERROR(Hoja4!M121,0)</f>
        <v>6.2738550380905062E-2</v>
      </c>
    </row>
    <row r="126" spans="1:11" s="23" customFormat="1" x14ac:dyDescent="0.25">
      <c r="A126" s="71" t="str">
        <f>+Hoja4!B122</f>
        <v>E-502</v>
      </c>
      <c r="B126" s="102" t="str">
        <f>+Hoja4!C122</f>
        <v>CONST, ADIC YMEJORAS</v>
      </c>
      <c r="C126" s="72">
        <f>SUM(C127:C128)</f>
        <v>1893431799</v>
      </c>
      <c r="D126" s="72">
        <f t="shared" ref="D126:G126" si="25">SUM(D127:D128)</f>
        <v>1893431799</v>
      </c>
      <c r="E126" s="72">
        <f t="shared" si="25"/>
        <v>0</v>
      </c>
      <c r="F126" s="72">
        <f t="shared" si="25"/>
        <v>1675789630.0400002</v>
      </c>
      <c r="G126" s="72">
        <f t="shared" si="25"/>
        <v>217642168.96000001</v>
      </c>
      <c r="H126" s="143">
        <f>+IFERROR(Hoja4!L122,0)</f>
        <v>0.88505412813128737</v>
      </c>
      <c r="I126" s="143">
        <f>+IFERROR(Hoja4!M122,0)</f>
        <v>0.11494587186871261</v>
      </c>
      <c r="J126" s="128"/>
      <c r="K126" s="128"/>
    </row>
    <row r="127" spans="1:11" x14ac:dyDescent="0.25">
      <c r="A127" s="73" t="str">
        <f>+Hoja4!B123</f>
        <v>E-50201</v>
      </c>
      <c r="B127" s="103" t="str">
        <f>+Hoja4!C123</f>
        <v>EDIFICIOS</v>
      </c>
      <c r="C127" s="100">
        <f>+SUMIF(Hoja4!$B$3:$B$164,$A127,Hoja4!$D$3:$D$164)</f>
        <v>1884669800</v>
      </c>
      <c r="D127" s="100">
        <f>+SUMIF(Hoja4!$B$3:$B$164,$A127,Hoja4!$E$3:$E$164)</f>
        <v>1884669800</v>
      </c>
      <c r="E127" s="100">
        <f>+SUMIF(Hoja4!$B$3:$B$164,$A127,Hoja4!$F$3:$F$164)</f>
        <v>0</v>
      </c>
      <c r="F127" s="100">
        <f>+SUMIF(Hoja4!$B$3:$B$164,$A127,Hoja4!$J$3:$J$164)</f>
        <v>1667027631.0800002</v>
      </c>
      <c r="G127" s="100">
        <f>+SUMIF(Hoja4!$B$3:$B$164,$A127,Hoja4!$K$3:$K$164)</f>
        <v>217642168.92000002</v>
      </c>
      <c r="H127" s="138">
        <f>+IFERROR(Hoja4!L123,0)</f>
        <v>0.88451973448080945</v>
      </c>
      <c r="I127" s="138">
        <f>+IFERROR(Hoja4!M123,0)</f>
        <v>0.11548026551919069</v>
      </c>
    </row>
    <row r="128" spans="1:11" x14ac:dyDescent="0.25">
      <c r="A128" s="73" t="str">
        <f>+Hoja4!B124</f>
        <v>E-50207</v>
      </c>
      <c r="B128" s="103" t="str">
        <f>+Hoja4!C124</f>
        <v>INSTALACIONES</v>
      </c>
      <c r="C128" s="100">
        <f>+SUMIF(Hoja4!$B$3:$B$164,$A128,Hoja4!$D$3:$D$164)</f>
        <v>8761999</v>
      </c>
      <c r="D128" s="100">
        <f>+SUMIF(Hoja4!$B$3:$B$164,$A128,Hoja4!$E$3:$E$164)</f>
        <v>8761999</v>
      </c>
      <c r="E128" s="100">
        <f>+SUMIF(Hoja4!$B$3:$B$164,$A128,Hoja4!$F$3:$F$164)</f>
        <v>0</v>
      </c>
      <c r="F128" s="100">
        <f>+SUMIF(Hoja4!$B$3:$B$164,$A128,Hoja4!$J$3:$J$164)</f>
        <v>8761998.9600000009</v>
      </c>
      <c r="G128" s="100">
        <f>+SUMIF(Hoja4!$B$3:$B$164,$A128,Hoja4!$K$3:$K$164)</f>
        <v>0.04</v>
      </c>
      <c r="H128" s="138">
        <f>+IFERROR(Hoja4!L124,0)</f>
        <v>0.99999999543483176</v>
      </c>
      <c r="I128" s="138">
        <f>+IFERROR(Hoja4!M124,0)</f>
        <v>4.5651682909345229E-9</v>
      </c>
    </row>
    <row r="129" spans="1:11" s="23" customFormat="1" x14ac:dyDescent="0.25">
      <c r="A129" s="71" t="str">
        <f>+Hoja4!B125</f>
        <v>E-599</v>
      </c>
      <c r="B129" s="102" t="str">
        <f>+Hoja4!C125</f>
        <v>BIENES DURADEROS DIV</v>
      </c>
      <c r="C129" s="72">
        <f>+C130</f>
        <v>385432982</v>
      </c>
      <c r="D129" s="72">
        <f t="shared" ref="D129:G129" si="26">+D130</f>
        <v>385432982</v>
      </c>
      <c r="E129" s="72">
        <f t="shared" si="26"/>
        <v>0</v>
      </c>
      <c r="F129" s="72">
        <f t="shared" si="26"/>
        <v>360299918.44</v>
      </c>
      <c r="G129" s="72">
        <f t="shared" si="26"/>
        <v>25133063.560000002</v>
      </c>
      <c r="H129" s="143">
        <f>+IFERROR(Hoja4!L99,0)</f>
        <v>0.86751114797257234</v>
      </c>
      <c r="I129" s="143">
        <f>+IFERROR(Hoja4!M99,0)</f>
        <v>0.13248885202742761</v>
      </c>
      <c r="J129" s="128"/>
      <c r="K129" s="128"/>
    </row>
    <row r="130" spans="1:11" x14ac:dyDescent="0.25">
      <c r="A130" s="73" t="str">
        <f>+Hoja4!B126</f>
        <v>E-59903</v>
      </c>
      <c r="B130" s="103" t="str">
        <f>+Hoja4!C126</f>
        <v>BIENES INTANGIBLES</v>
      </c>
      <c r="C130" s="100">
        <f>+SUMIF(Hoja4!$B$3:$B$164,$A130,Hoja4!$D$3:$D$164)</f>
        <v>385432982</v>
      </c>
      <c r="D130" s="100">
        <f>+SUMIF(Hoja4!$B$3:$B$164,$A130,Hoja4!$E$3:$E$164)</f>
        <v>385432982</v>
      </c>
      <c r="E130" s="100">
        <f>+SUMIF(Hoja4!$B$3:$B$164,$A130,Hoja4!$F$3:$F$164)</f>
        <v>0</v>
      </c>
      <c r="F130" s="100">
        <f>+SUMIF(Hoja4!$B$3:$B$164,$A130,Hoja4!$J$3:$J$164)</f>
        <v>360299918.44</v>
      </c>
      <c r="G130" s="100">
        <f>+SUMIF(Hoja4!$B$3:$B$164,$A130,Hoja4!$K$3:$K$164)</f>
        <v>25133063.560000002</v>
      </c>
      <c r="H130" s="138">
        <f>+IFERROR(Hoja4!L126,0)</f>
        <v>0.93479264947803553</v>
      </c>
      <c r="I130" s="138">
        <f>+IFERROR(Hoja4!M126,0)</f>
        <v>6.5207350521964413E-2</v>
      </c>
    </row>
    <row r="131" spans="1:11" s="113" customFormat="1" x14ac:dyDescent="0.25">
      <c r="A131" s="148" t="str">
        <f>+Hoja4!B127</f>
        <v>E-6</v>
      </c>
      <c r="B131" s="149" t="str">
        <f>+Hoja4!C127</f>
        <v>TRANSF. CORRIENTES</v>
      </c>
      <c r="C131" s="152">
        <f>+C132+C135+C137+C140+C143</f>
        <v>4153313177.1700001</v>
      </c>
      <c r="D131" s="152">
        <f t="shared" ref="D131:G131" si="27">+D132+D135+D137+D140+D143</f>
        <v>4153313177.1700001</v>
      </c>
      <c r="E131" s="152">
        <f t="shared" si="27"/>
        <v>0</v>
      </c>
      <c r="F131" s="152">
        <f t="shared" si="27"/>
        <v>3882374893.8899999</v>
      </c>
      <c r="G131" s="152">
        <f t="shared" si="27"/>
        <v>270938283.28000003</v>
      </c>
      <c r="H131" s="151">
        <f>+IFERROR(Hoja4!L127,0)</f>
        <v>0.93476574683332381</v>
      </c>
      <c r="I131" s="151">
        <f>+IFERROR(Hoja4!M127,0)</f>
        <v>6.5234253166676193E-2</v>
      </c>
      <c r="J131" s="129"/>
      <c r="K131" s="129">
        <f>+C131-Estado!C161</f>
        <v>0</v>
      </c>
    </row>
    <row r="132" spans="1:11" s="23" customFormat="1" x14ac:dyDescent="0.25">
      <c r="A132" s="71" t="str">
        <f>+Hoja4!B128</f>
        <v>E-601</v>
      </c>
      <c r="B132" s="102" t="str">
        <f>+Hoja4!C128</f>
        <v>TRANSF CTES S. PUB</v>
      </c>
      <c r="C132" s="114">
        <f>SUM(C133:C134)</f>
        <v>1086141042</v>
      </c>
      <c r="D132" s="114">
        <f t="shared" ref="D132:G132" si="28">SUM(D133:D134)</f>
        <v>1086141042</v>
      </c>
      <c r="E132" s="114">
        <f t="shared" si="28"/>
        <v>0</v>
      </c>
      <c r="F132" s="114">
        <f t="shared" si="28"/>
        <v>992174362.75999999</v>
      </c>
      <c r="G132" s="114">
        <f t="shared" si="28"/>
        <v>93966679.239999995</v>
      </c>
      <c r="H132" s="143">
        <f>+IFERROR(Hoja4!L128,0)</f>
        <v>0.91348574852951725</v>
      </c>
      <c r="I132" s="143">
        <f>+IFERROR(Hoja4!M128,0)</f>
        <v>8.6514251470482612E-2</v>
      </c>
      <c r="J132" s="128"/>
      <c r="K132" s="128">
        <f>+C132-Estado!C162</f>
        <v>0</v>
      </c>
    </row>
    <row r="133" spans="1:11" s="23" customFormat="1" x14ac:dyDescent="0.25">
      <c r="A133" s="73" t="str">
        <f>+Hoja4!B129</f>
        <v>E-60102</v>
      </c>
      <c r="B133" s="103" t="str">
        <f>+Hoja4!C129</f>
        <v>TRANSF.CTE ORG.DESC</v>
      </c>
      <c r="C133" s="100">
        <f>+SUMIF(Hoja4!$B$3:$B$164,$A133,Hoja4!$D$3:$D$164)</f>
        <v>481500000</v>
      </c>
      <c r="D133" s="100">
        <f>+SUMIF(Hoja4!$B$3:$B$164,$A133,Hoja4!$E$3:$E$164)</f>
        <v>481500000</v>
      </c>
      <c r="E133" s="100">
        <f>+SUMIF(Hoja4!$B$3:$B$164,$A133,Hoja4!$F$3:$F$164)</f>
        <v>0</v>
      </c>
      <c r="F133" s="100">
        <f>+SUMIF(Hoja4!$B$3:$B$164,$A133,Hoja4!$J$3:$J$164)</f>
        <v>400654271.5</v>
      </c>
      <c r="G133" s="100">
        <f>+SUMIF(Hoja4!$B$3:$B$164,$A133,Hoja4!$K$3:$K$164)</f>
        <v>80845728.5</v>
      </c>
      <c r="H133" s="138">
        <f>+IFERROR(Hoja4!L129,0)</f>
        <v>0.83209609865005196</v>
      </c>
      <c r="I133" s="138">
        <f>+IFERROR(Hoja4!M129,0)</f>
        <v>0.16790390134994809</v>
      </c>
      <c r="J133" s="128"/>
      <c r="K133" s="128"/>
    </row>
    <row r="134" spans="1:11" x14ac:dyDescent="0.25">
      <c r="A134" s="73" t="str">
        <f>+Hoja4!B130</f>
        <v>E-60103</v>
      </c>
      <c r="B134" s="103" t="str">
        <f>+Hoja4!C130</f>
        <v>TRANSF.CTE I.D.NOE</v>
      </c>
      <c r="C134" s="100">
        <f>+SUMIF(Hoja4!$B$3:$B$164,$A134,Hoja4!$D$3:$D$164)</f>
        <v>604641042</v>
      </c>
      <c r="D134" s="100">
        <f>+SUMIF(Hoja4!$B$3:$B$164,$A134,Hoja4!$E$3:$E$164)</f>
        <v>604641042</v>
      </c>
      <c r="E134" s="100">
        <f>+SUMIF(Hoja4!$B$3:$B$164,$A134,Hoja4!$F$3:$F$164)</f>
        <v>0</v>
      </c>
      <c r="F134" s="100">
        <f>+SUMIF(Hoja4!$B$3:$B$164,$A134,Hoja4!$J$3:$J$164)</f>
        <v>591520091.25999999</v>
      </c>
      <c r="G134" s="100">
        <f>+SUMIF(Hoja4!$B$3:$B$164,$A134,Hoja4!$K$3:$K$164)</f>
        <v>13120950.74</v>
      </c>
      <c r="H134" s="138">
        <f>+IFERROR(Hoja4!L130,0)</f>
        <v>0.97829960285759099</v>
      </c>
      <c r="I134" s="138">
        <f>+IFERROR(Hoja4!M130,0)</f>
        <v>2.1700397142409001E-2</v>
      </c>
    </row>
    <row r="135" spans="1:11" s="23" customFormat="1" x14ac:dyDescent="0.25">
      <c r="A135" s="71" t="str">
        <f>+Hoja4!B131</f>
        <v>E-602</v>
      </c>
      <c r="B135" s="102" t="str">
        <f>+Hoja4!C131</f>
        <v>TRANSF CTES A PERS</v>
      </c>
      <c r="C135" s="114">
        <f>+C136</f>
        <v>450000000</v>
      </c>
      <c r="D135" s="114">
        <f t="shared" ref="D135:G135" si="29">+D136</f>
        <v>450000000</v>
      </c>
      <c r="E135" s="114">
        <f t="shared" si="29"/>
        <v>0</v>
      </c>
      <c r="F135" s="114">
        <f t="shared" si="29"/>
        <v>450000000</v>
      </c>
      <c r="G135" s="114">
        <f t="shared" si="29"/>
        <v>0</v>
      </c>
      <c r="H135" s="143">
        <f>+IFERROR(Hoja4!L131,0)</f>
        <v>1</v>
      </c>
      <c r="I135" s="143">
        <f>+IFERROR(Hoja4!M131,0)</f>
        <v>0</v>
      </c>
      <c r="J135" s="128"/>
      <c r="K135" s="128">
        <f>+C135-Estado!C179</f>
        <v>0</v>
      </c>
    </row>
    <row r="136" spans="1:11" x14ac:dyDescent="0.25">
      <c r="A136" s="73" t="str">
        <f>+Hoja4!B132</f>
        <v>E-60299</v>
      </c>
      <c r="B136" s="103" t="str">
        <f>+Hoja4!C132</f>
        <v>OTRAS TRANSF. A PERS</v>
      </c>
      <c r="C136" s="100">
        <f>+SUMIF(Hoja4!$B$3:$B$164,$A136,Hoja4!$D$3:$D$164)</f>
        <v>450000000</v>
      </c>
      <c r="D136" s="100">
        <f>+SUMIF(Hoja4!$B$3:$B$164,$A136,Hoja4!$E$3:$E$164)</f>
        <v>450000000</v>
      </c>
      <c r="E136" s="100">
        <f>+SUMIF(Hoja4!$B$3:$B$164,$A136,Hoja4!$F$3:$F$164)</f>
        <v>0</v>
      </c>
      <c r="F136" s="100">
        <f>+SUMIF(Hoja4!$B$3:$B$164,$A136,Hoja4!$J$3:$J$164)</f>
        <v>450000000</v>
      </c>
      <c r="G136" s="100">
        <f>+SUMIF(Hoja4!$B$3:$B$164,$A136,Hoja4!$K$3:$K$164)</f>
        <v>0</v>
      </c>
      <c r="H136" s="138">
        <f>+IFERROR(Hoja4!L132,0)</f>
        <v>1</v>
      </c>
      <c r="I136" s="138">
        <f>+IFERROR(Hoja4!M132,0)</f>
        <v>0</v>
      </c>
    </row>
    <row r="137" spans="1:11" s="23" customFormat="1" x14ac:dyDescent="0.25">
      <c r="A137" s="71" t="str">
        <f>+Hoja4!B133</f>
        <v>E-603</v>
      </c>
      <c r="B137" s="102" t="str">
        <f>+Hoja4!C133</f>
        <v>PRESTACIONES</v>
      </c>
      <c r="C137" s="114">
        <f>SUM(C138:C139)</f>
        <v>1941897614</v>
      </c>
      <c r="D137" s="114">
        <f t="shared" ref="D137:G137" si="30">SUM(D138:D139)</f>
        <v>1941897614</v>
      </c>
      <c r="E137" s="114">
        <f t="shared" si="30"/>
        <v>0</v>
      </c>
      <c r="F137" s="114">
        <f t="shared" si="30"/>
        <v>1911071869.1799998</v>
      </c>
      <c r="G137" s="114">
        <f t="shared" si="30"/>
        <v>30825744.819999997</v>
      </c>
      <c r="H137" s="143">
        <f>+IFERROR(Hoja4!L133,0)</f>
        <v>0.98412596802335828</v>
      </c>
      <c r="I137" s="143">
        <f>+IFERROR(Hoja4!M133,0)</f>
        <v>1.5874031976641587E-2</v>
      </c>
      <c r="J137" s="128"/>
      <c r="K137" s="128">
        <f>+C137-Estado!C181</f>
        <v>0</v>
      </c>
    </row>
    <row r="138" spans="1:11" x14ac:dyDescent="0.25">
      <c r="A138" s="73" t="str">
        <f>+Hoja4!B134</f>
        <v>E-60301</v>
      </c>
      <c r="B138" s="103" t="str">
        <f>+Hoja4!C134</f>
        <v>PRESTACIONES LEGALES</v>
      </c>
      <c r="C138" s="100">
        <f>+SUMIF(Hoja4!$B$3:$B$164,$A138,Hoja4!$D$3:$D$164)</f>
        <v>1491104314</v>
      </c>
      <c r="D138" s="100">
        <f>+SUMIF(Hoja4!$B$3:$B$164,$A138,Hoja4!$E$3:$E$164)</f>
        <v>1491104314</v>
      </c>
      <c r="E138" s="100">
        <f>+SUMIF(Hoja4!$B$3:$B$164,$A138,Hoja4!$F$3:$F$164)</f>
        <v>0</v>
      </c>
      <c r="F138" s="100">
        <f>+SUMIF(Hoja4!$B$3:$B$164,$A138,Hoja4!$J$3:$J$164)</f>
        <v>1488005511.7599998</v>
      </c>
      <c r="G138" s="100">
        <f>+SUMIF(Hoja4!$B$3:$B$164,$A138,Hoja4!$K$3:$K$164)</f>
        <v>3098802.2399999998</v>
      </c>
      <c r="H138" s="138">
        <f>+IFERROR(Hoja4!L134,0)</f>
        <v>0.99792180720630641</v>
      </c>
      <c r="I138" s="138">
        <f>+IFERROR(Hoja4!M134,0)</f>
        <v>2.0781927936934395E-3</v>
      </c>
    </row>
    <row r="139" spans="1:11" x14ac:dyDescent="0.25">
      <c r="A139" s="73" t="str">
        <f>+Hoja4!B135</f>
        <v>E-60399</v>
      </c>
      <c r="B139" s="103" t="str">
        <f>+Hoja4!C135</f>
        <v>OTRAS PRESTACIONES</v>
      </c>
      <c r="C139" s="100">
        <f>+SUMIF(Hoja4!$B$3:$B$164,$A139,Hoja4!$D$3:$D$164)</f>
        <v>450793300</v>
      </c>
      <c r="D139" s="100">
        <f>+SUMIF(Hoja4!$B$3:$B$164,$A139,Hoja4!$E$3:$E$164)</f>
        <v>450793300</v>
      </c>
      <c r="E139" s="100">
        <f>+SUMIF(Hoja4!$B$3:$B$164,$A139,Hoja4!$F$3:$F$164)</f>
        <v>0</v>
      </c>
      <c r="F139" s="100">
        <f>+SUMIF(Hoja4!$B$3:$B$164,$A139,Hoja4!$J$3:$J$164)</f>
        <v>423066357.41999996</v>
      </c>
      <c r="G139" s="100">
        <f>+SUMIF(Hoja4!$B$3:$B$164,$A139,Hoja4!$K$3:$K$164)</f>
        <v>27726942.579999998</v>
      </c>
      <c r="H139" s="138">
        <f>+IFERROR(Hoja4!L135,0)</f>
        <v>0.93849300204772335</v>
      </c>
      <c r="I139" s="138">
        <f>+IFERROR(Hoja4!M135,0)</f>
        <v>6.1506997952276571E-2</v>
      </c>
    </row>
    <row r="140" spans="1:11" s="23" customFormat="1" x14ac:dyDescent="0.25">
      <c r="A140" s="71" t="str">
        <f>+Hoja4!B136</f>
        <v>E-606</v>
      </c>
      <c r="B140" s="102" t="str">
        <f>+Hoja4!C136</f>
        <v>OTR.TRANSF.CTE SPRIV</v>
      </c>
      <c r="C140" s="72">
        <f>SUM(C141:C142)</f>
        <v>267861521.17000002</v>
      </c>
      <c r="D140" s="72">
        <f t="shared" ref="D140:G140" si="31">SUM(D141:D142)</f>
        <v>267861521.17000002</v>
      </c>
      <c r="E140" s="72">
        <f t="shared" si="31"/>
        <v>0</v>
      </c>
      <c r="F140" s="72">
        <f t="shared" si="31"/>
        <v>123874725.36000001</v>
      </c>
      <c r="G140" s="72">
        <f t="shared" si="31"/>
        <v>143986795.81</v>
      </c>
      <c r="H140" s="143">
        <f>+IFERROR(Hoja4!L143,0)</f>
        <v>1</v>
      </c>
      <c r="I140" s="143">
        <f>+IFERROR(Hoja4!M143,0)</f>
        <v>0</v>
      </c>
      <c r="J140" s="128"/>
      <c r="K140" s="128">
        <f>+C140-Estado!C184</f>
        <v>0</v>
      </c>
    </row>
    <row r="141" spans="1:11" x14ac:dyDescent="0.25">
      <c r="A141" s="73" t="str">
        <f>+Hoja4!B137</f>
        <v>E-60601</v>
      </c>
      <c r="B141" s="103" t="str">
        <f>+Hoja4!C137</f>
        <v>INDEMNIZACIONES</v>
      </c>
      <c r="C141" s="100">
        <f>+SUMIF(Hoja4!$B$3:$B$164,$A141,Hoja4!$D$3:$D$164)</f>
        <v>195269917.71000001</v>
      </c>
      <c r="D141" s="100">
        <f>+SUMIF(Hoja4!$B$3:$B$164,$A141,Hoja4!$E$3:$E$164)</f>
        <v>195269917.71000001</v>
      </c>
      <c r="E141" s="100">
        <f>+SUMIF(Hoja4!$B$3:$B$164,$A141,Hoja4!$F$3:$F$164)</f>
        <v>0</v>
      </c>
      <c r="F141" s="100">
        <f>+SUMIF(Hoja4!$B$3:$B$164,$A141,Hoja4!$J$3:$J$164)</f>
        <v>60830136.010000005</v>
      </c>
      <c r="G141" s="100">
        <f>+SUMIF(Hoja4!$B$3:$B$164,$A141,Hoja4!$K$3:$K$164)</f>
        <v>134439781.69999999</v>
      </c>
      <c r="H141" s="138">
        <f>+IFERROR(Hoja4!L137,0)</f>
        <v>0.31151821398491236</v>
      </c>
      <c r="I141" s="138">
        <f>+IFERROR(Hoja4!M137,0)</f>
        <v>0.68848178601508758</v>
      </c>
    </row>
    <row r="142" spans="1:11" s="23" customFormat="1" x14ac:dyDescent="0.25">
      <c r="A142" s="73" t="str">
        <f>+Hoja4!B138</f>
        <v>E-60602</v>
      </c>
      <c r="B142" s="103" t="str">
        <f>+Hoja4!C138</f>
        <v>REINTEGROS O DEVOL.</v>
      </c>
      <c r="C142" s="100">
        <f>+SUMIF(Hoja4!$B$3:$B$164,$A142,Hoja4!$D$3:$D$164)</f>
        <v>72591603.460000008</v>
      </c>
      <c r="D142" s="100">
        <f>+SUMIF(Hoja4!$B$3:$B$164,$A142,Hoja4!$E$3:$E$164)</f>
        <v>72591603.460000008</v>
      </c>
      <c r="E142" s="100">
        <f>+SUMIF(Hoja4!$B$3:$B$164,$A142,Hoja4!$F$3:$F$164)</f>
        <v>0</v>
      </c>
      <c r="F142" s="100">
        <f>+SUMIF(Hoja4!$B$3:$B$164,$A142,Hoja4!$J$3:$J$164)</f>
        <v>63044589.350000001</v>
      </c>
      <c r="G142" s="100">
        <f>+SUMIF(Hoja4!$B$3:$B$164,$A142,Hoja4!$K$3:$K$164)</f>
        <v>9547014.1099999994</v>
      </c>
      <c r="H142" s="138">
        <f>+IFERROR(Hoja4!L138,0)</f>
        <v>0.86848321768700598</v>
      </c>
      <c r="I142" s="138">
        <f>+IFERROR(Hoja4!M138,0)</f>
        <v>0.13151678231299394</v>
      </c>
      <c r="J142" s="128"/>
      <c r="K142" s="128"/>
    </row>
    <row r="143" spans="1:11" s="23" customFormat="1" x14ac:dyDescent="0.25">
      <c r="A143" s="71" t="str">
        <f>+Hoja4!B139</f>
        <v>E-607</v>
      </c>
      <c r="B143" s="102" t="str">
        <f>+Hoja4!C139</f>
        <v>TRANSF CTES AL S.EXT</v>
      </c>
      <c r="C143" s="72">
        <f>+C144</f>
        <v>407413000</v>
      </c>
      <c r="D143" s="72">
        <f t="shared" ref="D143:G143" si="32">+D144</f>
        <v>407413000</v>
      </c>
      <c r="E143" s="72">
        <f t="shared" si="32"/>
        <v>0</v>
      </c>
      <c r="F143" s="72">
        <f t="shared" si="32"/>
        <v>405253936.59000003</v>
      </c>
      <c r="G143" s="72">
        <f t="shared" si="32"/>
        <v>2159063.41</v>
      </c>
      <c r="H143" s="138">
        <f>+IFERROR(Hoja4!L139,0)</f>
        <v>0.99470055346785691</v>
      </c>
      <c r="I143" s="138">
        <f>+IFERROR(Hoja4!M139,0)</f>
        <v>5.299446532143059E-3</v>
      </c>
      <c r="J143" s="128"/>
      <c r="K143" s="128">
        <f>+C143-Estado!C187</f>
        <v>0</v>
      </c>
    </row>
    <row r="144" spans="1:11" s="23" customFormat="1" x14ac:dyDescent="0.25">
      <c r="A144" s="73" t="str">
        <f>+Hoja4!B140</f>
        <v>E-60701</v>
      </c>
      <c r="B144" s="103" t="str">
        <f>+Hoja4!C140</f>
        <v>TRANSF.C.TE ORG.INT.</v>
      </c>
      <c r="C144" s="100">
        <f>+SUMIF(Hoja4!$B$3:$B$164,$A144,Hoja4!$D$3:$D$164)</f>
        <v>407413000</v>
      </c>
      <c r="D144" s="100">
        <f>+SUMIF(Hoja4!$B$3:$B$164,$A144,Hoja4!$E$3:$E$164)</f>
        <v>407413000</v>
      </c>
      <c r="E144" s="100">
        <f>+SUMIF(Hoja4!$B$3:$B$164,$A144,Hoja4!$F$3:$F$164)</f>
        <v>0</v>
      </c>
      <c r="F144" s="100">
        <f>+SUMIF(Hoja4!$B$3:$B$164,$A144,Hoja4!$J$3:$J$164)</f>
        <v>405253936.59000003</v>
      </c>
      <c r="G144" s="100">
        <f>+SUMIF(Hoja4!$B$3:$B$164,$A144,Hoja4!$K$3:$K$164)</f>
        <v>2159063.41</v>
      </c>
      <c r="H144" s="138">
        <f>+IFERROR(Hoja4!L140,0)</f>
        <v>0.99470055346785702</v>
      </c>
      <c r="I144" s="138">
        <f>+IFERROR(Hoja4!M140,0)</f>
        <v>5.299446532143059E-3</v>
      </c>
      <c r="J144" s="128"/>
      <c r="K144" s="128"/>
    </row>
    <row r="145" spans="1:11" s="113" customFormat="1" x14ac:dyDescent="0.25">
      <c r="A145" s="148" t="str">
        <f>+Hoja4!B141</f>
        <v>E-7</v>
      </c>
      <c r="B145" s="149" t="str">
        <f>+Hoja4!C141</f>
        <v>TRANSF. DE CAPITAL</v>
      </c>
      <c r="C145" s="150">
        <f>+C146</f>
        <v>4742400000</v>
      </c>
      <c r="D145" s="150">
        <f t="shared" ref="D145:G146" si="33">+D146</f>
        <v>4742400000</v>
      </c>
      <c r="E145" s="150">
        <f t="shared" si="33"/>
        <v>0</v>
      </c>
      <c r="F145" s="150">
        <f t="shared" si="33"/>
        <v>4742400000</v>
      </c>
      <c r="G145" s="150">
        <f t="shared" si="33"/>
        <v>0</v>
      </c>
      <c r="H145" s="151">
        <f>+IFERROR(Hoja4!L141,0)</f>
        <v>1</v>
      </c>
      <c r="I145" s="151">
        <f>+IFERROR(Hoja4!M141,0)</f>
        <v>0</v>
      </c>
      <c r="J145" s="129"/>
      <c r="K145" s="129">
        <f>+C145-Estado!C192</f>
        <v>0</v>
      </c>
    </row>
    <row r="146" spans="1:11" s="23" customFormat="1" x14ac:dyDescent="0.25">
      <c r="A146" s="71" t="str">
        <f>+Hoja4!B142</f>
        <v>E-701</v>
      </c>
      <c r="B146" s="102" t="str">
        <f>+Hoja4!C142</f>
        <v>TRANSF DE CTAL S PUB</v>
      </c>
      <c r="C146" s="72">
        <f>+C147</f>
        <v>4742400000</v>
      </c>
      <c r="D146" s="72">
        <f t="shared" si="33"/>
        <v>4742400000</v>
      </c>
      <c r="E146" s="72">
        <f t="shared" si="33"/>
        <v>0</v>
      </c>
      <c r="F146" s="72">
        <f t="shared" si="33"/>
        <v>4742400000</v>
      </c>
      <c r="G146" s="72">
        <f t="shared" si="33"/>
        <v>0</v>
      </c>
      <c r="H146" s="143">
        <f>+IFERROR(Hoja4!L142,0)</f>
        <v>1</v>
      </c>
      <c r="I146" s="143">
        <f>+IFERROR(Hoja4!M142,0)</f>
        <v>0</v>
      </c>
      <c r="J146" s="128"/>
      <c r="K146" s="128"/>
    </row>
    <row r="147" spans="1:11" s="23" customFormat="1" x14ac:dyDescent="0.25">
      <c r="A147" s="73" t="str">
        <f>+Hoja4!B143</f>
        <v>E-70102</v>
      </c>
      <c r="B147" s="103" t="str">
        <f>+Hoja4!C143</f>
        <v>TRANSF.CTAL ORG.DESC</v>
      </c>
      <c r="C147" s="100">
        <f>+SUMIF(Hoja4!$B$3:$B$164,$A147,Hoja4!$D$3:$D$164)</f>
        <v>4742400000</v>
      </c>
      <c r="D147" s="100">
        <f>+SUMIF(Hoja4!$B$3:$B$164,$A147,Hoja4!$E$3:$E$164)</f>
        <v>4742400000</v>
      </c>
      <c r="E147" s="100">
        <f>+SUMIF(Hoja4!$B$3:$B$164,$A147,Hoja4!$F$3:$F$164)</f>
        <v>0</v>
      </c>
      <c r="F147" s="100">
        <f>+SUMIF(Hoja4!$B$3:$B$164,$A147,Hoja4!$J$3:$J$164)</f>
        <v>4742400000</v>
      </c>
      <c r="G147" s="100">
        <f>+SUMIF(Hoja4!$B$3:$B$164,$A147,Hoja4!$K$3:$K$164)</f>
        <v>0</v>
      </c>
      <c r="H147" s="138">
        <f>+IFERROR(Hoja4!L143,0)</f>
        <v>1</v>
      </c>
      <c r="I147" s="138">
        <f>+IFERROR(Hoja4!M143,0)</f>
        <v>0</v>
      </c>
      <c r="J147" s="128"/>
      <c r="K147" s="128"/>
    </row>
    <row r="148" spans="1:11" s="113" customFormat="1" x14ac:dyDescent="0.25">
      <c r="A148" s="148" t="str">
        <f>+Hoja4!B144</f>
        <v>E-9</v>
      </c>
      <c r="B148" s="149" t="str">
        <f>+Hoja4!C144</f>
        <v>CUENTAS ESPECIALES</v>
      </c>
      <c r="C148" s="150">
        <f>+C149</f>
        <v>173212000</v>
      </c>
      <c r="D148" s="150">
        <f t="shared" ref="D148:G149" si="34">+D149</f>
        <v>173212000</v>
      </c>
      <c r="E148" s="150">
        <f t="shared" si="34"/>
        <v>0</v>
      </c>
      <c r="F148" s="150">
        <f t="shared" si="34"/>
        <v>0</v>
      </c>
      <c r="G148" s="150">
        <f t="shared" si="34"/>
        <v>173212000</v>
      </c>
      <c r="H148" s="151">
        <f>+IFERROR(Hoja4!L144,0)</f>
        <v>0</v>
      </c>
      <c r="I148" s="151">
        <f>+IFERROR(Hoja4!M144,0)</f>
        <v>1</v>
      </c>
      <c r="J148" s="129"/>
      <c r="K148" s="129"/>
    </row>
    <row r="149" spans="1:11" s="23" customFormat="1" x14ac:dyDescent="0.25">
      <c r="A149" s="73" t="str">
        <f>+Hoja4!B145</f>
        <v>E-902</v>
      </c>
      <c r="B149" s="103" t="str">
        <f>+Hoja4!C145</f>
        <v>SUMAS SIN ASIGNACION PRESUPUESTARIA</v>
      </c>
      <c r="C149" s="158">
        <f>+C150</f>
        <v>173212000</v>
      </c>
      <c r="D149" s="158">
        <f t="shared" si="34"/>
        <v>173212000</v>
      </c>
      <c r="E149" s="158">
        <f t="shared" si="34"/>
        <v>0</v>
      </c>
      <c r="F149" s="158">
        <f t="shared" si="34"/>
        <v>0</v>
      </c>
      <c r="G149" s="158">
        <f t="shared" si="34"/>
        <v>173212000</v>
      </c>
      <c r="H149" s="138">
        <f>+IFERROR(Hoja4!L145,0)</f>
        <v>0</v>
      </c>
      <c r="I149" s="138">
        <f>+IFERROR(Hoja4!M145,0)</f>
        <v>1</v>
      </c>
      <c r="J149" s="128"/>
      <c r="K149" s="128"/>
    </row>
    <row r="150" spans="1:11" s="23" customFormat="1" x14ac:dyDescent="0.25">
      <c r="A150" s="73" t="str">
        <f>+Hoja4!B146</f>
        <v>E-90201</v>
      </c>
      <c r="B150" s="103" t="str">
        <f>+Hoja4!C146</f>
        <v>SUMAS LIBRES SIN ASIGNACION PRESUPUESTARIA</v>
      </c>
      <c r="C150" s="100">
        <f>+SUMIF(Hoja4!$B$3:$B$164,$A150,Hoja4!$D$3:$D$164)</f>
        <v>173212000</v>
      </c>
      <c r="D150" s="100">
        <f>+SUMIF(Hoja4!$B$3:$B$164,$A150,Hoja4!$E$3:$E$164)</f>
        <v>173212000</v>
      </c>
      <c r="E150" s="100">
        <f>+SUMIF(Hoja4!$B$3:$B$164,$A150,Hoja4!$F$3:$F$164)</f>
        <v>0</v>
      </c>
      <c r="F150" s="100">
        <f>+SUMIF(Hoja4!$B$3:$B$164,$A150,Hoja4!$J$3:$J$164)</f>
        <v>0</v>
      </c>
      <c r="G150" s="100">
        <f>+SUMIF(Hoja4!$B$3:$B$164,$A150,Hoja4!$K$3:$K$164)</f>
        <v>173212000</v>
      </c>
      <c r="H150" s="138">
        <f>+IFERROR(Hoja4!L146,0)</f>
        <v>0</v>
      </c>
      <c r="I150" s="138">
        <f>+IFERROR(Hoja4!M146,0)</f>
        <v>1</v>
      </c>
      <c r="J150" s="128"/>
      <c r="K150" s="128"/>
    </row>
    <row r="151" spans="1:11" ht="15.75" thickBot="1" x14ac:dyDescent="0.3">
      <c r="A151" s="76" t="s">
        <v>15</v>
      </c>
      <c r="B151" s="104"/>
      <c r="C151" s="77">
        <f>+C145+C131+C116+C86+C32+C7+C148</f>
        <v>134302218983</v>
      </c>
      <c r="D151" s="77">
        <f t="shared" ref="D151:G151" si="35">+D145+D131+D116+D86+D32+D7+D148</f>
        <v>134296244482</v>
      </c>
      <c r="E151" s="77">
        <f t="shared" si="35"/>
        <v>0</v>
      </c>
      <c r="F151" s="77">
        <f t="shared" si="35"/>
        <v>127782545823.39</v>
      </c>
      <c r="G151" s="77">
        <f t="shared" si="35"/>
        <v>6519673159.6099997</v>
      </c>
      <c r="H151" s="159">
        <f>+IFERROR(Hoja4!L147,0)</f>
        <v>0.95145520893861579</v>
      </c>
      <c r="I151" s="159">
        <f>+IFERROR(Hoja4!M147,0)</f>
        <v>4.8544791061384186E-2</v>
      </c>
    </row>
    <row r="152" spans="1:11" x14ac:dyDescent="0.25">
      <c r="A152" s="78"/>
      <c r="B152" s="78"/>
      <c r="C152" s="44">
        <f>+C151-Hoja4!D147</f>
        <v>0</v>
      </c>
      <c r="D152" s="44">
        <f>+D151-Hoja4!E147</f>
        <v>0</v>
      </c>
      <c r="E152" s="44">
        <f>+E151-Hoja4!F147</f>
        <v>0</v>
      </c>
      <c r="F152" s="44">
        <f>SUM(Hoja4!G147:I147)-F151</f>
        <v>0</v>
      </c>
      <c r="G152" s="44">
        <f>+G151-Hoja4!K147</f>
        <v>0</v>
      </c>
      <c r="H152" s="43"/>
      <c r="I152" s="43"/>
    </row>
    <row r="153" spans="1:11" x14ac:dyDescent="0.25">
      <c r="C153" s="25">
        <f>+C151-Estado!C200</f>
        <v>0</v>
      </c>
    </row>
  </sheetData>
  <mergeCells count="11">
    <mergeCell ref="A1:I1"/>
    <mergeCell ref="A2:I2"/>
    <mergeCell ref="A3:I3"/>
    <mergeCell ref="I5:I6"/>
    <mergeCell ref="A5:A6"/>
    <mergeCell ref="C5:C6"/>
    <mergeCell ref="D5:D6"/>
    <mergeCell ref="E5:E6"/>
    <mergeCell ref="G5:G6"/>
    <mergeCell ref="H5:H6"/>
    <mergeCell ref="B5:B6"/>
  </mergeCells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7109375" customWidth="1"/>
    <col min="2" max="2" width="18.85546875" bestFit="1" customWidth="1"/>
    <col min="3" max="3" width="18" bestFit="1" customWidth="1"/>
    <col min="4" max="4" width="16.85546875" bestFit="1" customWidth="1"/>
    <col min="5" max="5" width="14.7109375" bestFit="1" customWidth="1"/>
    <col min="6" max="6" width="7.42578125" bestFit="1" customWidth="1"/>
    <col min="7" max="7" width="15.7109375" bestFit="1" customWidth="1"/>
    <col min="8" max="8" width="7.140625" bestFit="1" customWidth="1"/>
    <col min="9" max="9" width="13.28515625" bestFit="1" customWidth="1"/>
    <col min="10" max="10" width="7.5703125" bestFit="1" customWidth="1"/>
    <col min="11" max="11" width="16.85546875" bestFit="1" customWidth="1"/>
    <col min="12" max="12" width="7.28515625" bestFit="1" customWidth="1"/>
    <col min="13" max="13" width="16.85546875" bestFit="1" customWidth="1"/>
    <col min="14" max="14" width="6.7109375" bestFit="1" customWidth="1"/>
    <col min="15" max="15" width="16.85546875" bestFit="1" customWidth="1"/>
    <col min="16" max="16" width="7.7109375" bestFit="1" customWidth="1"/>
    <col min="17" max="17" width="15.7109375" bestFit="1" customWidth="1"/>
    <col min="18" max="18" width="6.7109375" bestFit="1" customWidth="1"/>
  </cols>
  <sheetData>
    <row r="1" spans="1:19" ht="15.75" x14ac:dyDescent="0.25">
      <c r="A1" s="40" t="str">
        <f>+[1]Consolidado!A5</f>
        <v>214  - Ministerio de Justicia y Gracia</v>
      </c>
      <c r="B1" s="40"/>
      <c r="C1" s="40"/>
    </row>
    <row r="2" spans="1:19" ht="24" x14ac:dyDescent="0.25">
      <c r="A2" s="52" t="s">
        <v>24</v>
      </c>
      <c r="B2" s="52"/>
      <c r="C2" s="52" t="s">
        <v>25</v>
      </c>
      <c r="D2" s="52" t="s">
        <v>26</v>
      </c>
      <c r="E2" s="52" t="s">
        <v>27</v>
      </c>
      <c r="F2" s="52" t="s">
        <v>28</v>
      </c>
      <c r="G2" s="52" t="s">
        <v>29</v>
      </c>
      <c r="H2" s="52" t="s">
        <v>30</v>
      </c>
      <c r="I2" s="52" t="s">
        <v>31</v>
      </c>
      <c r="J2" s="52" t="s">
        <v>32</v>
      </c>
      <c r="K2" s="52" t="s">
        <v>33</v>
      </c>
      <c r="L2" s="52" t="s">
        <v>34</v>
      </c>
      <c r="M2" s="52" t="s">
        <v>35</v>
      </c>
      <c r="N2" s="52" t="s">
        <v>36</v>
      </c>
      <c r="O2" s="52" t="s">
        <v>37</v>
      </c>
      <c r="P2" s="52" t="s">
        <v>38</v>
      </c>
      <c r="Q2" s="52" t="s">
        <v>39</v>
      </c>
      <c r="R2" s="53" t="s">
        <v>40</v>
      </c>
    </row>
    <row r="3" spans="1:19" x14ac:dyDescent="0.25">
      <c r="A3" s="11" t="s">
        <v>41</v>
      </c>
      <c r="B3" s="11"/>
      <c r="C3" s="11" t="s">
        <v>42</v>
      </c>
      <c r="D3" s="11" t="s">
        <v>42</v>
      </c>
      <c r="E3" s="11" t="s">
        <v>42</v>
      </c>
      <c r="F3" s="41"/>
      <c r="G3" s="11" t="s">
        <v>42</v>
      </c>
      <c r="H3" s="11"/>
      <c r="I3" s="11" t="s">
        <v>42</v>
      </c>
      <c r="J3" s="41"/>
      <c r="K3" s="11" t="s">
        <v>42</v>
      </c>
      <c r="L3" s="11"/>
      <c r="M3" s="11" t="s">
        <v>42</v>
      </c>
      <c r="N3" s="11"/>
      <c r="O3" s="11" t="s">
        <v>42</v>
      </c>
      <c r="P3" s="11"/>
      <c r="Q3" s="11" t="s">
        <v>42</v>
      </c>
      <c r="R3" s="13"/>
    </row>
    <row r="4" spans="1:19" x14ac:dyDescent="0.25">
      <c r="A4" s="11" t="s">
        <v>92</v>
      </c>
      <c r="B4" s="11" t="s">
        <v>93</v>
      </c>
      <c r="C4" s="13">
        <f>SUMIF(Estado!$A$9:$A$369,$A4,Estado!$C$9:$C$369)</f>
        <v>89646093488</v>
      </c>
      <c r="D4" s="13">
        <f>SUMIF(Estado!$A$9:$A$369,$A4,Estado!$D$9:$D$369)</f>
        <v>89640118987</v>
      </c>
      <c r="E4" s="13">
        <f>SUMIF(Estado!$A$9:$A$369,$A4,Estado!$E$9:$E$369)</f>
        <v>0</v>
      </c>
      <c r="F4" s="49">
        <f t="shared" ref="F4:F9" si="0">+E4/C4</f>
        <v>0</v>
      </c>
      <c r="G4" s="13">
        <f>SUMIF(Estado!$A$9:$A$369,$A4,Estado!$G$9:$G$369)</f>
        <v>0</v>
      </c>
      <c r="H4" s="49">
        <f t="shared" ref="H4" si="1">+G4/$C$4</f>
        <v>0</v>
      </c>
      <c r="I4" s="13">
        <f>SUMIF(Estado!$A$9:$A$369,$A4,Estado!$I$9:$I$369)</f>
        <v>0</v>
      </c>
      <c r="J4" s="49" t="e">
        <f>+I4/(E4+G4)</f>
        <v>#DIV/0!</v>
      </c>
      <c r="K4" s="13">
        <f>SUMIF(Estado!$A$9:$A$369,$A4,Estado!$K$9:$K$369)</f>
        <v>85726976935.610001</v>
      </c>
      <c r="L4" s="49">
        <f>+K4/$C$4</f>
        <v>0.95628234985036342</v>
      </c>
      <c r="M4" s="13">
        <f>SUMIF(Estado!$A$9:$A$369,$A4,Estado!$M$9:$M$369)</f>
        <v>85726976935.610001</v>
      </c>
      <c r="N4" s="49">
        <f>+M4/$C$4</f>
        <v>0.95628234985036342</v>
      </c>
      <c r="O4" s="13">
        <f>SUMIF(Estado!$A$9:$A$369,$A4,Estado!$O$9:$O$369)</f>
        <v>3919116552.3899999</v>
      </c>
      <c r="P4" s="49">
        <f t="shared" ref="P4" si="2">+O4/$C$4</f>
        <v>4.3717650149636599E-2</v>
      </c>
      <c r="Q4" s="13">
        <f>SUMIF(Estado!$A$9:$A$369,$A4,Estado!$Q$9:$Q$369)</f>
        <v>3913142051.3899999</v>
      </c>
      <c r="R4" s="49">
        <f>+Q4/$C$4</f>
        <v>4.3651004735792663E-2</v>
      </c>
    </row>
    <row r="5" spans="1:19" x14ac:dyDescent="0.25">
      <c r="A5" s="11" t="s">
        <v>126</v>
      </c>
      <c r="B5" s="11" t="s">
        <v>127</v>
      </c>
      <c r="C5" s="13">
        <f>SUMIF(Estado!$A$9:$A$369,$A5,Estado!$C$9:$C$369)</f>
        <v>16216640106.32</v>
      </c>
      <c r="D5" s="13">
        <f>SUMIF(Estado!$A$9:$A$369,$A5,Estado!$D$9:$D$369)</f>
        <v>16216640106.32</v>
      </c>
      <c r="E5" s="13">
        <f>SUMIF(Estado!$A$9:$A$369,$A5,Estado!$E$9:$E$369)</f>
        <v>0</v>
      </c>
      <c r="F5" s="49">
        <f t="shared" si="0"/>
        <v>0</v>
      </c>
      <c r="G5" s="13">
        <f>SUMIF(Estado!$A$9:$A$369,$A5,Estado!$G$9:$G$369)</f>
        <v>1869966369.95</v>
      </c>
      <c r="H5" s="49">
        <f>+G5/$C$5</f>
        <v>0.11531157858163424</v>
      </c>
      <c r="I5" s="13">
        <f>SUMIF(Estado!$A$9:$A$369,$A5,Estado!$I$9:$I$369)</f>
        <v>0</v>
      </c>
      <c r="J5" s="49">
        <f t="shared" ref="J5:J8" si="3">+I5/(E5+G5)</f>
        <v>0</v>
      </c>
      <c r="K5" s="13">
        <f>SUMIF(Estado!$A$9:$A$369,$A5,Estado!$K$9:$K$369)</f>
        <v>13075561583.459999</v>
      </c>
      <c r="L5" s="49">
        <f>+K5/$C$5</f>
        <v>0.80630522091713375</v>
      </c>
      <c r="M5" s="13">
        <f>SUMIF(Estado!$A$9:$A$369,$A5,Estado!$M$9:$M$369)</f>
        <v>10921122490.289999</v>
      </c>
      <c r="N5" s="49">
        <f>+M5/$C$5</f>
        <v>0.67345161628355954</v>
      </c>
      <c r="O5" s="13">
        <f>SUMIF(Estado!$A$9:$A$369,$A5,Estado!$O$9:$O$369)</f>
        <v>1271112152.9100001</v>
      </c>
      <c r="P5" s="49">
        <f>+O5/$C$5</f>
        <v>7.8383200501231959E-2</v>
      </c>
      <c r="Q5" s="13">
        <f>SUMIF(Estado!$A$9:$A$369,$A5,Estado!$Q$9:$Q$369)</f>
        <v>1271112152.9100001</v>
      </c>
      <c r="R5" s="49">
        <f>+Q5/$C$5</f>
        <v>7.8383200501231959E-2</v>
      </c>
    </row>
    <row r="6" spans="1:19" x14ac:dyDescent="0.25">
      <c r="A6" s="11" t="s">
        <v>203</v>
      </c>
      <c r="B6" s="11" t="s">
        <v>483</v>
      </c>
      <c r="C6" s="13">
        <f>SUMIF(Estado!$A$9:$A$369,$A6,Estado!$C$9:$C$369)</f>
        <v>15431160767.51</v>
      </c>
      <c r="D6" s="13">
        <f>SUMIF(Estado!$A$9:$A$369,$A6,Estado!$D$9:$D$369)</f>
        <v>15431160767.51</v>
      </c>
      <c r="E6" s="13">
        <f>SUMIF(Estado!$A$9:$A$369,$A6,Estado!$E$9:$E$369)</f>
        <v>0</v>
      </c>
      <c r="F6" s="49">
        <f t="shared" si="0"/>
        <v>0</v>
      </c>
      <c r="G6" s="13">
        <f>SUMIF(Estado!$A$9:$A$369,$A6,Estado!$G$9:$G$369)</f>
        <v>1203945855.76</v>
      </c>
      <c r="H6" s="49">
        <f>+G6/$C$6</f>
        <v>7.8020433711952761E-2</v>
      </c>
      <c r="I6" s="13">
        <f>SUMIF(Estado!$A$9:$A$369,$A6,Estado!$I$9:$I$369)</f>
        <v>0</v>
      </c>
      <c r="J6" s="49">
        <f t="shared" si="3"/>
        <v>0</v>
      </c>
      <c r="K6" s="13">
        <f>SUMIF(Estado!$A$9:$A$369,$A6,Estado!$K$9:$K$369)</f>
        <v>13707288427.529999</v>
      </c>
      <c r="L6" s="49">
        <f>+K6/$C$6</f>
        <v>0.88828628215645444</v>
      </c>
      <c r="M6" s="13">
        <f>SUMIF(Estado!$A$9:$A$369,$A6,Estado!$M$9:$M$369)</f>
        <v>11784756332.280001</v>
      </c>
      <c r="N6" s="49">
        <f>+M6/$C$6</f>
        <v>0.76369862966450131</v>
      </c>
      <c r="O6" s="13">
        <f>SUMIF(Estado!$A$9:$A$369,$A6,Estado!$O$9:$O$369)</f>
        <v>519926484.21999997</v>
      </c>
      <c r="P6" s="49">
        <f>+O6/$C$6</f>
        <v>3.3693284131592664E-2</v>
      </c>
      <c r="Q6" s="13">
        <f>SUMIF(Estado!$A$9:$A$369,$A6,Estado!$Q$9:$Q$369)</f>
        <v>519926484.21999997</v>
      </c>
      <c r="R6" s="49">
        <f>+Q6/$C$6</f>
        <v>3.3693284131592664E-2</v>
      </c>
    </row>
    <row r="7" spans="1:19" x14ac:dyDescent="0.25">
      <c r="A7" s="11" t="s">
        <v>285</v>
      </c>
      <c r="B7" s="11" t="s">
        <v>286</v>
      </c>
      <c r="C7" s="13">
        <f>SUMIF(Estado!$A$9:$A$369,$A7,Estado!$C$9:$C$369)</f>
        <v>3939399444</v>
      </c>
      <c r="D7" s="13">
        <f>SUMIF(Estado!$A$9:$A$369,$A7,Estado!$D$9:$D$369)</f>
        <v>3939399444</v>
      </c>
      <c r="E7" s="13">
        <f>SUMIF(Estado!$A$9:$A$369,$A7,Estado!$E$9:$E$369)</f>
        <v>0</v>
      </c>
      <c r="F7" s="49">
        <f t="shared" si="0"/>
        <v>0</v>
      </c>
      <c r="G7" s="13">
        <f>SUMIF(Estado!$A$9:$A$369,$A7,Estado!$G$9:$G$369)</f>
        <v>788244237.63</v>
      </c>
      <c r="H7" s="49">
        <f>+G7/$C$7</f>
        <v>0.20009248841991764</v>
      </c>
      <c r="I7" s="13">
        <f>SUMIF(Estado!$A$9:$A$369,$A7,Estado!$I$9:$I$369)</f>
        <v>0</v>
      </c>
      <c r="J7" s="49">
        <f t="shared" si="3"/>
        <v>0</v>
      </c>
      <c r="K7" s="13">
        <f>SUMIF(Estado!$A$9:$A$369,$A7,Estado!$K$9:$K$369)</f>
        <v>2785787519.5600004</v>
      </c>
      <c r="L7" s="49">
        <f>+K7/$C$7</f>
        <v>0.70716045914129455</v>
      </c>
      <c r="M7" s="13">
        <f>SUMIF(Estado!$A$9:$A$369,$A7,Estado!$M$9:$M$369)</f>
        <v>1968155853.1299999</v>
      </c>
      <c r="N7" s="49">
        <f>+M7/$C$7</f>
        <v>0.49960809537292505</v>
      </c>
      <c r="O7" s="13">
        <f>SUMIF(Estado!$A$9:$A$369,$A7,Estado!$O$9:$O$369)</f>
        <v>365367686.80999994</v>
      </c>
      <c r="P7" s="49">
        <f>+O7/$C$7</f>
        <v>9.2747052438787905E-2</v>
      </c>
      <c r="Q7" s="13">
        <f>SUMIF(Estado!$A$9:$A$369,$A7,Estado!$Q$9:$Q$369)</f>
        <v>365367686.80999994</v>
      </c>
      <c r="R7" s="49">
        <f>+Q7/$C$7</f>
        <v>9.2747052438787905E-2</v>
      </c>
    </row>
    <row r="8" spans="1:19" x14ac:dyDescent="0.25">
      <c r="A8" s="11" t="s">
        <v>255</v>
      </c>
      <c r="B8" s="11" t="s">
        <v>522</v>
      </c>
      <c r="C8" s="13">
        <f>SUMIF(Estado!$A$9:$A$369,$A8,Estado!$C$9:$C$369)</f>
        <v>4153313177.1700001</v>
      </c>
      <c r="D8" s="13">
        <f>SUMIF(Estado!$A$9:$A$369,$A8,Estado!$D$9:$D$369)</f>
        <v>4153313177.1700001</v>
      </c>
      <c r="E8" s="13">
        <f>SUMIF(Estado!$A$9:$A$369,$A8,Estado!$E$9:$E$369)</f>
        <v>0</v>
      </c>
      <c r="F8" s="49">
        <f t="shared" si="0"/>
        <v>0</v>
      </c>
      <c r="G8" s="13">
        <f>SUMIF(Estado!$A$9:$A$369,$A8,Estado!$G$9:$G$369)</f>
        <v>77872794.379999995</v>
      </c>
      <c r="H8" s="49">
        <f>+G8/$C$8</f>
        <v>1.8749559943625836E-2</v>
      </c>
      <c r="I8" s="13">
        <f>SUMIF(Estado!$A$9:$A$369,$A8,Estado!$I$9:$I$369)</f>
        <v>0</v>
      </c>
      <c r="J8" s="49">
        <f t="shared" si="3"/>
        <v>0</v>
      </c>
      <c r="K8" s="13">
        <f>SUMIF(Estado!$A$9:$A$369,$A8,Estado!$K$9:$K$369)</f>
        <v>3804502099.5099998</v>
      </c>
      <c r="L8" s="49">
        <f>+K8/$C$8</f>
        <v>0.91601618688969788</v>
      </c>
      <c r="M8" s="13">
        <f>SUMIF(Estado!$A$9:$A$369,$A8,Estado!$M$9:$M$369)</f>
        <v>3713535255.71</v>
      </c>
      <c r="N8" s="49">
        <f>+M8/$C$8</f>
        <v>0.89411395127211246</v>
      </c>
      <c r="O8" s="13">
        <f>SUMIF(Estado!$A$9:$A$369,$A8,Estado!$O$9:$O$369)</f>
        <v>270938283.28000003</v>
      </c>
      <c r="P8" s="49">
        <f>+O8/$C$8</f>
        <v>6.5234253166676193E-2</v>
      </c>
      <c r="Q8" s="13">
        <f>SUMIF(Estado!$A$9:$A$369,$A8,Estado!$Q$9:$Q$369)</f>
        <v>270938283.28000003</v>
      </c>
      <c r="R8" s="49">
        <f>+Q8/$C$8</f>
        <v>6.5234253166676193E-2</v>
      </c>
    </row>
    <row r="9" spans="1:19" x14ac:dyDescent="0.25">
      <c r="A9" s="11" t="s">
        <v>388</v>
      </c>
      <c r="B9" s="11" t="s">
        <v>540</v>
      </c>
      <c r="C9" s="13">
        <f>SUMIF(Estado!$A$9:$A$369,$A9,Estado!$C$9:$C$369)</f>
        <v>4742400000</v>
      </c>
      <c r="D9" s="13">
        <f>SUMIF(Estado!$A$9:$A$369,$A9,Estado!$D$9:$D$369)</f>
        <v>4742400000</v>
      </c>
      <c r="E9" s="13">
        <f>SUMIF(Estado!$A$9:$A$369,$A9,Estado!$E$9:$E$369)</f>
        <v>0</v>
      </c>
      <c r="F9" s="49">
        <f t="shared" si="0"/>
        <v>0</v>
      </c>
      <c r="G9" s="13">
        <f>SUMIF(Estado!$A$9:$A$369,$A9,Estado!$G$9:$G$369)</f>
        <v>0</v>
      </c>
      <c r="H9" s="49">
        <f>+G9/$C$9</f>
        <v>0</v>
      </c>
      <c r="I9" s="13">
        <f>SUMIF(Estado!$A$9:$A$369,$A9,Estado!$I$9:$I$369)</f>
        <v>0</v>
      </c>
      <c r="J9" s="49">
        <v>0</v>
      </c>
      <c r="K9" s="13">
        <f>SUMIF(Estado!$A$9:$A$369,$A9,Estado!$K$9:$K$369)</f>
        <v>4742400000</v>
      </c>
      <c r="L9" s="49">
        <f>+K9/$C$9</f>
        <v>1</v>
      </c>
      <c r="M9" s="13">
        <f>SUMIF(Estado!$A$9:$A$369,$A9,Estado!$M$9:$M$369)</f>
        <v>4742400000</v>
      </c>
      <c r="N9" s="49">
        <f>+M9/$C$9</f>
        <v>1</v>
      </c>
      <c r="O9" s="13">
        <f>SUMIF(Estado!$A$9:$A$369,$A9,Estado!$O$9:$O$369)</f>
        <v>0</v>
      </c>
      <c r="P9" s="49">
        <f>+O9/$C$9</f>
        <v>0</v>
      </c>
      <c r="Q9" s="13">
        <f>SUMIF(Estado!$A$9:$A$369,$A9,Estado!$Q$9:$Q$369)</f>
        <v>0</v>
      </c>
      <c r="R9" s="49">
        <f>+Q9/$C$9</f>
        <v>0</v>
      </c>
    </row>
    <row r="10" spans="1:19" x14ac:dyDescent="0.25">
      <c r="A10" s="11" t="s">
        <v>589</v>
      </c>
      <c r="B10" s="11" t="s">
        <v>590</v>
      </c>
      <c r="C10" s="13">
        <f>SUMIF(Estado!$A$9:$A$369,$A10,Estado!$C$9:$C$369)</f>
        <v>173212000</v>
      </c>
      <c r="D10" s="13">
        <f>SUMIF(Estado!$A$9:$A$369,$A10,Estado!$D$9:$D$369)</f>
        <v>173212000</v>
      </c>
      <c r="E10" s="13">
        <f>SUMIF(Estado!$A$9:$A$369,$A10,Estado!$E$9:$E$369)</f>
        <v>0</v>
      </c>
      <c r="F10" s="49">
        <f t="shared" ref="F10" si="4">+E10/C10</f>
        <v>0</v>
      </c>
      <c r="G10" s="13">
        <f>SUMIF(Estado!$A$9:$A$369,$A10,Estado!$G$9:$G$369)</f>
        <v>0</v>
      </c>
      <c r="H10" s="49">
        <f>+G10/$C$10</f>
        <v>0</v>
      </c>
      <c r="I10" s="13">
        <f>SUMIF(Estado!$A$9:$A$369,$A10,Estado!$I$9:$I$369)</f>
        <v>0</v>
      </c>
      <c r="J10" s="49">
        <v>0</v>
      </c>
      <c r="K10" s="13">
        <f>SUMIF(Estado!$A$9:$A$369,$A10,Estado!$K$9:$K$369)</f>
        <v>0</v>
      </c>
      <c r="L10" s="49">
        <f>+K10/$C$10</f>
        <v>0</v>
      </c>
      <c r="M10" s="13">
        <f>SUMIF(Estado!$A$9:$A$369,$A10,Estado!$M$9:$M$369)</f>
        <v>0</v>
      </c>
      <c r="N10" s="49">
        <f>+M10/$C$10</f>
        <v>0</v>
      </c>
      <c r="O10" s="13">
        <f>SUMIF(Estado!$A$9:$A$369,$A10,Estado!$O$9:$O$369)</f>
        <v>173212000</v>
      </c>
      <c r="P10" s="49">
        <f>+O10/$C$10</f>
        <v>1</v>
      </c>
      <c r="Q10" s="13">
        <f>SUMIF(Estado!$A$9:$A$369,$A10,Estado!$Q$9:$Q$369)</f>
        <v>173212000</v>
      </c>
      <c r="R10" s="49">
        <f>+Q10/$C$10</f>
        <v>1</v>
      </c>
    </row>
    <row r="11" spans="1:19" x14ac:dyDescent="0.25">
      <c r="A11" s="54" t="s">
        <v>58</v>
      </c>
      <c r="B11" s="54"/>
      <c r="C11" s="55">
        <f>SUM(C4:C10)</f>
        <v>134302218983</v>
      </c>
      <c r="D11" s="55">
        <f>SUM(D4:D10)</f>
        <v>134296244482</v>
      </c>
      <c r="E11" s="55">
        <f>SUM(E4:E10)</f>
        <v>0</v>
      </c>
      <c r="F11" s="56">
        <f t="shared" ref="F11" si="5">+E11/C11</f>
        <v>0</v>
      </c>
      <c r="G11" s="55">
        <f>SUM(G4:G10)</f>
        <v>3940029257.7200003</v>
      </c>
      <c r="H11" s="56">
        <f>+G11/$C$11</f>
        <v>2.9337037671869962E-2</v>
      </c>
      <c r="I11" s="55">
        <f>SUM(I4:I10)</f>
        <v>0</v>
      </c>
      <c r="J11" s="56">
        <f t="shared" ref="J11" si="6">+I11/(E11+G11)</f>
        <v>0</v>
      </c>
      <c r="K11" s="55">
        <f>SUM(K4:K10)</f>
        <v>123842516565.67</v>
      </c>
      <c r="L11" s="56">
        <f>+K11/$C$11</f>
        <v>0.92211817126674589</v>
      </c>
      <c r="M11" s="55">
        <f>SUM(M4:M10)</f>
        <v>118856946867.02</v>
      </c>
      <c r="N11" s="56">
        <f>+M11/$C$11</f>
        <v>0.88499615097249396</v>
      </c>
      <c r="O11" s="55">
        <f>SUM(O4:O10)</f>
        <v>6519673159.6099997</v>
      </c>
      <c r="P11" s="56">
        <f>+O11/$C$11</f>
        <v>4.8544791061384186E-2</v>
      </c>
      <c r="Q11" s="55">
        <f>SUM(Q4:Q10)</f>
        <v>6513698658.6099997</v>
      </c>
      <c r="R11" s="56">
        <f>+Q11/$C$11</f>
        <v>4.8500305564083829E-2</v>
      </c>
    </row>
    <row r="12" spans="1:19" s="43" customFormat="1" ht="12.75" x14ac:dyDescent="0.2">
      <c r="D12" s="44">
        <f>+Estado!C200-C11</f>
        <v>0</v>
      </c>
      <c r="E12" s="44">
        <f>+Estado!D200-D11</f>
        <v>0</v>
      </c>
      <c r="F12" s="44">
        <f>+Estado!E200-E11</f>
        <v>0</v>
      </c>
      <c r="G12" s="44"/>
      <c r="H12" s="44">
        <f>+Estado!G200-G11</f>
        <v>0</v>
      </c>
      <c r="I12" s="44"/>
      <c r="J12" s="44">
        <f>+Estado!I200-I11</f>
        <v>0</v>
      </c>
      <c r="K12" s="44"/>
      <c r="L12" s="44">
        <f>+Estado!K200-K11</f>
        <v>0</v>
      </c>
      <c r="M12" s="44"/>
      <c r="N12" s="44">
        <f>+Estado!M200-M11</f>
        <v>0</v>
      </c>
      <c r="O12" s="44"/>
      <c r="P12" s="44">
        <f>+Estado!O200-O11</f>
        <v>0</v>
      </c>
      <c r="Q12" s="44"/>
      <c r="R12" s="44">
        <f>+Estado!Q200-Q11</f>
        <v>0</v>
      </c>
      <c r="S12" s="44"/>
    </row>
    <row r="13" spans="1:19" ht="25.5" x14ac:dyDescent="0.25">
      <c r="A13" s="57"/>
      <c r="B13" s="57"/>
      <c r="C13" s="58" t="s">
        <v>59</v>
      </c>
      <c r="D13" s="59" t="s">
        <v>60</v>
      </c>
    </row>
    <row r="14" spans="1:19" x14ac:dyDescent="0.25">
      <c r="A14" s="208" t="s">
        <v>61</v>
      </c>
      <c r="B14" s="209"/>
      <c r="C14" s="42">
        <f>+D14/C11*100</f>
        <v>0</v>
      </c>
      <c r="D14" s="45">
        <f>+E11</f>
        <v>0</v>
      </c>
    </row>
    <row r="15" spans="1:19" x14ac:dyDescent="0.25">
      <c r="A15" s="206" t="s">
        <v>62</v>
      </c>
      <c r="B15" s="207"/>
      <c r="C15" s="42">
        <f>+D15/C11*100</f>
        <v>2.9337037671869961</v>
      </c>
      <c r="D15" s="45">
        <f>+G11</f>
        <v>3940029257.7200003</v>
      </c>
    </row>
    <row r="16" spans="1:19" x14ac:dyDescent="0.25">
      <c r="A16" s="206" t="s">
        <v>63</v>
      </c>
      <c r="B16" s="207"/>
      <c r="C16" s="42">
        <f>+D16/C11*100</f>
        <v>0</v>
      </c>
      <c r="D16" s="45">
        <f>+I11</f>
        <v>0</v>
      </c>
    </row>
    <row r="17" spans="1:4" ht="56.25" customHeight="1" x14ac:dyDescent="0.25">
      <c r="A17" s="206" t="s">
        <v>64</v>
      </c>
      <c r="B17" s="207"/>
      <c r="C17" s="42">
        <f>+D17/C11*100</f>
        <v>92.211817126674589</v>
      </c>
      <c r="D17" s="45">
        <f>+K11</f>
        <v>123842516565.67</v>
      </c>
    </row>
    <row r="18" spans="1:4" x14ac:dyDescent="0.25">
      <c r="A18" s="206" t="s">
        <v>65</v>
      </c>
      <c r="B18" s="207"/>
      <c r="C18" s="42">
        <f>+D18/C11*100</f>
        <v>4.8544791061384185</v>
      </c>
      <c r="D18" s="45">
        <f>+O11</f>
        <v>6519673159.6099997</v>
      </c>
    </row>
    <row r="19" spans="1:4" x14ac:dyDescent="0.25">
      <c r="A19" s="206" t="s">
        <v>15</v>
      </c>
      <c r="B19" s="207"/>
      <c r="C19" s="46">
        <f>SUM(C14:C18)</f>
        <v>100</v>
      </c>
      <c r="D19" s="47">
        <f>SUM(D14:D18)</f>
        <v>134302218983</v>
      </c>
    </row>
    <row r="20" spans="1:4" x14ac:dyDescent="0.25">
      <c r="A20" s="206"/>
      <c r="B20" s="207"/>
    </row>
    <row r="21" spans="1:4" x14ac:dyDescent="0.25">
      <c r="A21" s="206" t="s">
        <v>66</v>
      </c>
      <c r="B21" s="207"/>
      <c r="C21" s="42">
        <f>+D21/C11*100</f>
        <v>95.145520893861573</v>
      </c>
      <c r="D21" s="45">
        <f>+E11+G11+I11+K11</f>
        <v>127782545823.39</v>
      </c>
    </row>
    <row r="22" spans="1:4" x14ac:dyDescent="0.25">
      <c r="A22" s="206" t="s">
        <v>67</v>
      </c>
      <c r="B22" s="207"/>
      <c r="C22" s="42">
        <f>+D22/C11*100</f>
        <v>88.499615097249389</v>
      </c>
      <c r="D22" s="45">
        <f>+M11</f>
        <v>118856946867.02</v>
      </c>
    </row>
    <row r="23" spans="1:4" x14ac:dyDescent="0.25">
      <c r="A23" s="206" t="s">
        <v>68</v>
      </c>
      <c r="B23" s="207"/>
      <c r="C23" s="42">
        <f>+D23/C11*100</f>
        <v>4.8500305564083828</v>
      </c>
      <c r="D23" s="45">
        <f>+Q11</f>
        <v>6513698658.6099997</v>
      </c>
    </row>
  </sheetData>
  <mergeCells count="10"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orientation="portrait" verticalDpi="59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E15"/>
  <sheetViews>
    <sheetView workbookViewId="0">
      <selection activeCell="A16" sqref="A16"/>
    </sheetView>
  </sheetViews>
  <sheetFormatPr baseColWidth="10" defaultRowHeight="15" x14ac:dyDescent="0.25"/>
  <cols>
    <col min="1" max="1" width="12.28515625" customWidth="1"/>
    <col min="2" max="2" width="14.7109375" customWidth="1"/>
    <col min="3" max="3" width="12.28515625" customWidth="1"/>
    <col min="4" max="4" width="15.42578125" customWidth="1"/>
  </cols>
  <sheetData>
    <row r="2" spans="1:5" ht="38.25" customHeight="1" x14ac:dyDescent="0.25">
      <c r="A2" s="210" t="s">
        <v>591</v>
      </c>
      <c r="B2" s="214" t="s">
        <v>600</v>
      </c>
      <c r="C2" s="212" t="s">
        <v>581</v>
      </c>
      <c r="D2" s="212" t="s">
        <v>65</v>
      </c>
    </row>
    <row r="3" spans="1:5" ht="51" customHeight="1" x14ac:dyDescent="0.25">
      <c r="A3" s="211"/>
      <c r="B3" s="215"/>
      <c r="C3" s="213"/>
      <c r="D3" s="213"/>
    </row>
    <row r="4" spans="1:5" x14ac:dyDescent="0.25">
      <c r="A4" s="92" t="s">
        <v>582</v>
      </c>
      <c r="B4" s="49">
        <v>0.22775123044995979</v>
      </c>
      <c r="C4" s="49">
        <v>8.2191113884377734E-2</v>
      </c>
      <c r="D4" s="49">
        <v>0.77224876955004018</v>
      </c>
    </row>
    <row r="5" spans="1:5" x14ac:dyDescent="0.25">
      <c r="A5" s="92" t="s">
        <v>599</v>
      </c>
      <c r="B5" s="49">
        <v>0.2627315145902902</v>
      </c>
      <c r="C5" s="49">
        <v>0.14233704145987611</v>
      </c>
      <c r="D5" s="49">
        <v>0.73726848540970991</v>
      </c>
    </row>
    <row r="6" spans="1:5" x14ac:dyDescent="0.25">
      <c r="A6" s="92" t="s">
        <v>601</v>
      </c>
      <c r="B6" s="49">
        <v>0.31642449147007073</v>
      </c>
      <c r="C6" s="49">
        <v>0.1967294830040785</v>
      </c>
      <c r="D6" s="49">
        <v>0.68357550852992932</v>
      </c>
    </row>
    <row r="7" spans="1:5" x14ac:dyDescent="0.25">
      <c r="A7" s="92" t="s">
        <v>603</v>
      </c>
      <c r="B7" s="49">
        <v>0.3777756098375416</v>
      </c>
      <c r="C7" s="49">
        <v>0.25859620385971333</v>
      </c>
      <c r="D7" s="49">
        <v>0.62222439016245845</v>
      </c>
    </row>
    <row r="8" spans="1:5" x14ac:dyDescent="0.25">
      <c r="A8" s="92" t="s">
        <v>605</v>
      </c>
      <c r="B8" s="49">
        <v>0.43897842319494929</v>
      </c>
      <c r="C8" s="49">
        <v>0.32211938617488262</v>
      </c>
      <c r="D8" s="49">
        <v>0.56102157680505083</v>
      </c>
    </row>
    <row r="9" spans="1:5" x14ac:dyDescent="0.25">
      <c r="A9" s="92" t="s">
        <v>606</v>
      </c>
      <c r="B9" s="49">
        <v>0.49015472477167471</v>
      </c>
      <c r="C9" s="49">
        <v>0.38872695555501752</v>
      </c>
      <c r="D9" s="49">
        <v>0.50984527522832535</v>
      </c>
    </row>
    <row r="10" spans="1:5" x14ac:dyDescent="0.25">
      <c r="A10" s="92" t="s">
        <v>607</v>
      </c>
      <c r="B10" s="49">
        <v>0.55932522075834679</v>
      </c>
      <c r="C10" s="49">
        <v>0.44563946683373717</v>
      </c>
      <c r="D10" s="49">
        <v>0.44067477924165321</v>
      </c>
    </row>
    <row r="11" spans="1:5" x14ac:dyDescent="0.25">
      <c r="A11" s="92" t="s">
        <v>608</v>
      </c>
      <c r="B11" s="49">
        <v>0.60803839183098474</v>
      </c>
      <c r="C11" s="49">
        <v>0.51707991718764812</v>
      </c>
      <c r="D11" s="49">
        <v>0.39196160816901515</v>
      </c>
    </row>
    <row r="12" spans="1:5" x14ac:dyDescent="0.25">
      <c r="A12" s="92" t="s">
        <v>609</v>
      </c>
      <c r="B12" s="49">
        <v>0.66596485347274281</v>
      </c>
      <c r="C12" s="49">
        <v>0.58915874771246246</v>
      </c>
      <c r="D12" s="49">
        <v>0.33403514652725719</v>
      </c>
    </row>
    <row r="13" spans="1:5" x14ac:dyDescent="0.25">
      <c r="A13" s="92" t="s">
        <v>610</v>
      </c>
      <c r="B13" s="49">
        <v>0.73248854304978206</v>
      </c>
      <c r="C13" s="49">
        <v>0.65667856852072304</v>
      </c>
      <c r="D13" s="49">
        <v>0.26751145695021805</v>
      </c>
    </row>
    <row r="14" spans="1:5" x14ac:dyDescent="0.25">
      <c r="A14" s="92" t="s">
        <v>611</v>
      </c>
      <c r="B14" s="49">
        <v>0.82797542115566669</v>
      </c>
      <c r="C14" s="49">
        <v>0.74500461009586949</v>
      </c>
      <c r="D14" s="49">
        <v>0.17202457884433331</v>
      </c>
    </row>
    <row r="15" spans="1:5" x14ac:dyDescent="0.25">
      <c r="A15" s="92" t="s">
        <v>613</v>
      </c>
      <c r="B15" s="49">
        <f>+(+'COMPORT. RESUMEN'!$E$11+'COMPORT. RESUMEN'!$G$11+'COMPORT. RESUMEN'!$I$11+'COMPORT. RESUMEN'!$K$11)/'COMPORT. RESUMEN'!$C$11</f>
        <v>0.95145520893861579</v>
      </c>
      <c r="C15" s="49">
        <f>+(+'COMPORT. RESUMEN'!$K$11)/'COMPORT. RESUMEN'!$C$11</f>
        <v>0.92211817126674589</v>
      </c>
      <c r="D15" s="49">
        <f>+'COMPORT. RESUMEN'!$P$11</f>
        <v>4.8544791061384186E-2</v>
      </c>
      <c r="E15" s="48"/>
    </row>
  </sheetData>
  <mergeCells count="4">
    <mergeCell ref="A2:A3"/>
    <mergeCell ref="D2:D3"/>
    <mergeCell ref="C2:C3"/>
    <mergeCell ref="B2: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B1" zoomScale="80" zoomScaleNormal="80" workbookViewId="0">
      <selection activeCell="Q6" sqref="Q6"/>
    </sheetView>
  </sheetViews>
  <sheetFormatPr baseColWidth="10" defaultColWidth="17.5703125" defaultRowHeight="15" x14ac:dyDescent="0.25"/>
  <cols>
    <col min="1" max="1" width="25.140625" style="24" hidden="1" customWidth="1"/>
    <col min="2" max="2" width="14.5703125" style="24" customWidth="1"/>
    <col min="3" max="3" width="20.140625" style="24" bestFit="1" customWidth="1"/>
    <col min="4" max="4" width="5" style="24" bestFit="1" customWidth="1"/>
    <col min="5" max="5" width="17.42578125" style="24" bestFit="1" customWidth="1"/>
    <col min="6" max="6" width="6.5703125" style="24" bestFit="1" customWidth="1"/>
    <col min="7" max="7" width="19.140625" style="24" bestFit="1" customWidth="1"/>
    <col min="8" max="8" width="12" style="24" hidden="1" customWidth="1"/>
    <col min="9" max="9" width="6.5703125" style="24" bestFit="1" customWidth="1"/>
    <col min="10" max="10" width="14.5703125" style="24" bestFit="1" customWidth="1"/>
    <col min="11" max="11" width="8.5703125" style="24" bestFit="1" customWidth="1"/>
    <col min="12" max="12" width="20.140625" style="24" bestFit="1" customWidth="1"/>
    <col min="13" max="13" width="13.85546875" style="24" bestFit="1" customWidth="1"/>
    <col min="14" max="14" width="23.42578125" style="24" bestFit="1" customWidth="1"/>
    <col min="15" max="15" width="9.42578125" style="24" customWidth="1"/>
    <col min="16" max="16" width="7.85546875" style="24" customWidth="1"/>
    <col min="17" max="16384" width="17.5703125" style="24"/>
  </cols>
  <sheetData>
    <row r="1" spans="1:17" ht="15.75" x14ac:dyDescent="0.25">
      <c r="B1" s="170" t="s">
        <v>70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7" ht="15.75" x14ac:dyDescent="0.25">
      <c r="B2" s="170" t="str">
        <f>+Estado!A4</f>
        <v xml:space="preserve">AL 31 DE DICIEMBRE 2018        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7" ht="15.75" x14ac:dyDescent="0.25">
      <c r="B3" s="170" t="s">
        <v>55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x14ac:dyDescent="0.25">
      <c r="L4" s="51"/>
    </row>
    <row r="5" spans="1:17" ht="25.5" x14ac:dyDescent="0.25">
      <c r="A5" s="60"/>
      <c r="B5" s="57" t="s">
        <v>71</v>
      </c>
      <c r="C5" s="61" t="s">
        <v>1</v>
      </c>
      <c r="D5" s="61" t="s">
        <v>72</v>
      </c>
      <c r="E5" s="61" t="s">
        <v>3</v>
      </c>
      <c r="F5" s="61"/>
      <c r="G5" s="61" t="s">
        <v>43</v>
      </c>
      <c r="H5" s="61" t="s">
        <v>73</v>
      </c>
      <c r="I5" s="61"/>
      <c r="J5" s="61" t="s">
        <v>31</v>
      </c>
      <c r="K5" s="61" t="s">
        <v>72</v>
      </c>
      <c r="L5" s="61" t="s">
        <v>33</v>
      </c>
      <c r="M5" s="61" t="s">
        <v>74</v>
      </c>
      <c r="N5" s="61" t="s">
        <v>6</v>
      </c>
      <c r="O5" s="61" t="s">
        <v>8</v>
      </c>
    </row>
    <row r="6" spans="1:17" x14ac:dyDescent="0.25">
      <c r="B6" s="79" t="s">
        <v>75</v>
      </c>
      <c r="C6" s="74">
        <f>+[2]Estado!$C$10</f>
        <v>2608813216</v>
      </c>
      <c r="D6" s="138">
        <f>IFERROR(C6/$C$11,0)</f>
        <v>1.9424944991640266E-2</v>
      </c>
      <c r="E6" s="74">
        <f>++[2]Estado!$E$10</f>
        <v>0</v>
      </c>
      <c r="F6" s="75">
        <f>+E6/C6</f>
        <v>0</v>
      </c>
      <c r="G6" s="74">
        <f>++[2]Estado!$G$10</f>
        <v>36261843.689999998</v>
      </c>
      <c r="H6" s="80">
        <f>IFERROR(G6/C6,0)</f>
        <v>1.3899747006648097E-2</v>
      </c>
      <c r="I6" s="80">
        <f>+G6/C6</f>
        <v>1.3899747006648097E-2</v>
      </c>
      <c r="J6" s="74">
        <f>++[2]Estado!$I$10</f>
        <v>0</v>
      </c>
      <c r="K6" s="80">
        <f>IFERROR(J6/G6,0)</f>
        <v>0</v>
      </c>
      <c r="L6" s="74">
        <f>++[2]Estado!$K$10</f>
        <v>2334886845.4299998</v>
      </c>
      <c r="M6" s="138">
        <f>IFERROR(L6/C6,0)</f>
        <v>0.89499962324247895</v>
      </c>
      <c r="N6" s="74">
        <f>++[2]Estado!$O$10</f>
        <v>237664526.88</v>
      </c>
      <c r="O6" s="138">
        <f>IFERROR(N6/C6,0)</f>
        <v>9.1100629750872894E-2</v>
      </c>
      <c r="P6" s="82"/>
      <c r="Q6" s="127"/>
    </row>
    <row r="7" spans="1:17" x14ac:dyDescent="0.25">
      <c r="B7" s="79" t="s">
        <v>76</v>
      </c>
      <c r="C7" s="74">
        <f>++[3]Estado!$C$10</f>
        <v>1034622551</v>
      </c>
      <c r="D7" s="138">
        <f t="shared" ref="D7" si="0">IFERROR(C7/$C$11,0)</f>
        <v>7.7036891782924508E-3</v>
      </c>
      <c r="E7" s="74">
        <f>++[3]Estado!$E$10</f>
        <v>0</v>
      </c>
      <c r="F7" s="75">
        <f t="shared" ref="F7" si="1">+E7/C7</f>
        <v>0</v>
      </c>
      <c r="G7" s="74">
        <f>++[3]Estado!$G$10</f>
        <v>7452690.6399999997</v>
      </c>
      <c r="H7" s="80">
        <f t="shared" ref="H7" si="2">IFERROR(G7/C7,0)</f>
        <v>7.2032942185502385E-3</v>
      </c>
      <c r="I7" s="80">
        <f t="shared" ref="I7" si="3">+G7/C7</f>
        <v>7.2032942185502385E-3</v>
      </c>
      <c r="J7" s="74">
        <f>++[3]Estado!$I$10</f>
        <v>0</v>
      </c>
      <c r="K7" s="80">
        <f t="shared" ref="K7" si="4">IFERROR(J7/G7,0)</f>
        <v>0</v>
      </c>
      <c r="L7" s="74">
        <f>++[3]Estado!$K$10</f>
        <v>937922572.63</v>
      </c>
      <c r="M7" s="138">
        <f>IFERROR(L7/C7,0)</f>
        <v>0.90653598428089932</v>
      </c>
      <c r="N7" s="74">
        <f>++[3]Estado!$O$10</f>
        <v>89247287.729999989</v>
      </c>
      <c r="O7" s="138">
        <f>IFERROR(N7/C7,0)</f>
        <v>8.6260721500550391E-2</v>
      </c>
      <c r="P7" s="82"/>
    </row>
    <row r="8" spans="1:17" x14ac:dyDescent="0.25">
      <c r="B8" s="79" t="s">
        <v>77</v>
      </c>
      <c r="C8" s="74">
        <f>++[4]Estado!$C$10</f>
        <v>10740968852</v>
      </c>
      <c r="D8" s="138">
        <f t="shared" ref="D8" si="5">IFERROR(C8/$C$11,0)</f>
        <v>7.9976108610384122E-2</v>
      </c>
      <c r="E8" s="74">
        <f>++[4]Estado!$E$10</f>
        <v>0</v>
      </c>
      <c r="F8" s="75">
        <f t="shared" ref="F8" si="6">+E8/C8</f>
        <v>0</v>
      </c>
      <c r="G8" s="74">
        <f>++[4]Estado!$G$10</f>
        <v>92419661.390000001</v>
      </c>
      <c r="H8" s="80">
        <f t="shared" ref="H8" si="7">IFERROR(G8/C8,0)</f>
        <v>8.6044064239876455E-3</v>
      </c>
      <c r="I8" s="80">
        <f t="shared" ref="I8" si="8">+G8/C8</f>
        <v>8.6044064239876455E-3</v>
      </c>
      <c r="J8" s="74">
        <f>++[4]Estado!$I$10</f>
        <v>0</v>
      </c>
      <c r="K8" s="80">
        <f t="shared" ref="K8" si="9">IFERROR(J8/G8,0)</f>
        <v>0</v>
      </c>
      <c r="L8" s="74">
        <f>++[4]Estado!$K$10</f>
        <v>9843333943.6599998</v>
      </c>
      <c r="M8" s="138">
        <f>IFERROR(L8/C8,0)</f>
        <v>0.91642886961981485</v>
      </c>
      <c r="N8" s="74">
        <f>++[4]Estado!$O$10</f>
        <v>805215246.95000005</v>
      </c>
      <c r="O8" s="138">
        <f>IFERROR(N8/C8,0)</f>
        <v>7.4966723956197551E-2</v>
      </c>
    </row>
    <row r="9" spans="1:17" x14ac:dyDescent="0.25">
      <c r="B9" s="79" t="s">
        <v>78</v>
      </c>
      <c r="C9" s="74">
        <f>++[5]Estado!$C$10</f>
        <v>106772514109</v>
      </c>
      <c r="D9" s="138">
        <f t="shared" ref="D9" si="10">IFERROR(C9/$C$11,0)</f>
        <v>0.79501675339046551</v>
      </c>
      <c r="E9" s="74">
        <f>++[5]Estado!$E$10</f>
        <v>0</v>
      </c>
      <c r="F9" s="75">
        <f t="shared" ref="F9" si="11">+E9/C9</f>
        <v>0</v>
      </c>
      <c r="G9" s="74">
        <f>++[5]Estado!$G$10</f>
        <v>3803484545</v>
      </c>
      <c r="H9" s="80">
        <f t="shared" ref="H9" si="12">IFERROR(G9/C9,0)</f>
        <v>3.5622318878032293E-2</v>
      </c>
      <c r="I9" s="80">
        <f>+G9/C9</f>
        <v>3.5622318878032293E-2</v>
      </c>
      <c r="J9" s="74">
        <f>++[5]Estado!$I$10</f>
        <v>0</v>
      </c>
      <c r="K9" s="80">
        <f t="shared" ref="K9" si="13">IFERROR(J9/G9,0)</f>
        <v>0</v>
      </c>
      <c r="L9" s="74">
        <f>++[5]Estado!$K$10</f>
        <v>98043556410.990005</v>
      </c>
      <c r="M9" s="138">
        <f>IFERROR(L9/C9,0)</f>
        <v>0.91824714655403794</v>
      </c>
      <c r="N9" s="74">
        <f>++[5]Estado!$O$10</f>
        <v>4925473153.0100002</v>
      </c>
      <c r="O9" s="138">
        <f>IFERROR(N9/C9,0)</f>
        <v>4.6130534567929829E-2</v>
      </c>
    </row>
    <row r="10" spans="1:17" x14ac:dyDescent="0.25">
      <c r="B10" s="79" t="s">
        <v>79</v>
      </c>
      <c r="C10" s="74">
        <f>++[6]Estado!$C$10</f>
        <v>13145300255</v>
      </c>
      <c r="D10" s="138">
        <f t="shared" ref="D10" si="14">IFERROR(C10/$C$11,0)</f>
        <v>9.78785038292177E-2</v>
      </c>
      <c r="E10" s="74">
        <f>++[6]Estado!$E$10</f>
        <v>0</v>
      </c>
      <c r="F10" s="75">
        <f t="shared" ref="F10" si="15">+E10/C10</f>
        <v>0</v>
      </c>
      <c r="G10" s="74">
        <f>++[6]Estado!$G$10</f>
        <v>410517</v>
      </c>
      <c r="H10" s="80">
        <f t="shared" ref="H10" si="16">IFERROR(G10/C10,0)</f>
        <v>3.1229183969674186E-5</v>
      </c>
      <c r="I10" s="80">
        <f t="shared" ref="I10" si="17">+G10/C10</f>
        <v>3.1229183969674186E-5</v>
      </c>
      <c r="J10" s="74">
        <f>++[6]Estado!$J$10</f>
        <v>0</v>
      </c>
      <c r="K10" s="80">
        <f t="shared" ref="K10" si="18">IFERROR(J10/G10,0)</f>
        <v>0</v>
      </c>
      <c r="L10" s="74">
        <f>++[6]Estado!$K$10</f>
        <v>12682816792.959999</v>
      </c>
      <c r="M10" s="138">
        <f>IFERROR(L10/C10,0)</f>
        <v>0.96481758095528558</v>
      </c>
      <c r="N10" s="74">
        <f>++[6]Estado!$O$10</f>
        <v>462072945.04000002</v>
      </c>
      <c r="O10" s="138">
        <f>IFERROR(N10/C10,0)</f>
        <v>3.5151189860744649E-2</v>
      </c>
    </row>
    <row r="11" spans="1:17" x14ac:dyDescent="0.25">
      <c r="A11" s="60"/>
      <c r="B11" s="54" t="s">
        <v>15</v>
      </c>
      <c r="C11" s="55">
        <f>SUM(C6:C10)</f>
        <v>134302218983</v>
      </c>
      <c r="D11" s="56"/>
      <c r="E11" s="55">
        <f>SUM(E6:E10)</f>
        <v>0</v>
      </c>
      <c r="F11" s="56">
        <f>+E11/C11</f>
        <v>0</v>
      </c>
      <c r="G11" s="55">
        <f>SUM(G6:G10)</f>
        <v>3940029257.7199998</v>
      </c>
      <c r="H11" s="56">
        <f>+G11/C11</f>
        <v>2.9337037671869959E-2</v>
      </c>
      <c r="I11" s="91">
        <f>+G11/C11</f>
        <v>2.9337037671869959E-2</v>
      </c>
      <c r="J11" s="55">
        <f>SUM(J6:J10)</f>
        <v>0</v>
      </c>
      <c r="K11" s="56">
        <f>+J11/G11</f>
        <v>0</v>
      </c>
      <c r="L11" s="55">
        <f>SUM(L6:L10)</f>
        <v>123842516565.67001</v>
      </c>
      <c r="M11" s="140">
        <f>+L11/C11</f>
        <v>0.922118171266746</v>
      </c>
      <c r="N11" s="55">
        <f>SUM(N6:N10)</f>
        <v>6519673159.6099997</v>
      </c>
      <c r="O11" s="140">
        <f>+N11/C11</f>
        <v>4.8544791061384186E-2</v>
      </c>
    </row>
    <row r="12" spans="1:17" x14ac:dyDescent="0.25">
      <c r="B12" s="78"/>
      <c r="C12" s="44">
        <f>+C11-Estado!C10</f>
        <v>0</v>
      </c>
      <c r="D12" s="44"/>
      <c r="E12" s="44">
        <f>+E11-Estado!E10</f>
        <v>0</v>
      </c>
      <c r="F12" s="44"/>
      <c r="G12" s="44">
        <f>+G11-Estado!G10</f>
        <v>0</v>
      </c>
      <c r="H12" s="44"/>
      <c r="I12" s="44"/>
      <c r="J12" s="44"/>
      <c r="K12" s="44"/>
      <c r="L12" s="44">
        <f>+L11-Estado!K10</f>
        <v>0</v>
      </c>
      <c r="M12" s="44"/>
      <c r="N12" s="44">
        <f>+N11-Estado!O10</f>
        <v>0</v>
      </c>
      <c r="O12" s="43"/>
    </row>
    <row r="13" spans="1:17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81"/>
      <c r="O13" s="78"/>
    </row>
    <row r="17" spans="2:4" x14ac:dyDescent="0.25">
      <c r="B17" s="82"/>
      <c r="C17" s="82"/>
      <c r="D17" s="82"/>
    </row>
    <row r="18" spans="2:4" x14ac:dyDescent="0.25">
      <c r="B18" s="82"/>
      <c r="C18" s="82"/>
      <c r="D18" s="82"/>
    </row>
    <row r="19" spans="2:4" x14ac:dyDescent="0.25">
      <c r="B19" s="82"/>
      <c r="C19" s="82"/>
      <c r="D19" s="82"/>
    </row>
    <row r="20" spans="2:4" x14ac:dyDescent="0.25">
      <c r="B20" s="82"/>
      <c r="C20" s="82"/>
      <c r="D20" s="82"/>
    </row>
  </sheetData>
  <mergeCells count="3">
    <mergeCell ref="B1:O1"/>
    <mergeCell ref="B2:O2"/>
    <mergeCell ref="B3:O3"/>
  </mergeCells>
  <printOptions horizontalCentered="1"/>
  <pageMargins left="0.31496062992125984" right="0.31496062992125984" top="0.35433070866141736" bottom="0.35433070866141736" header="0.31496062992125984" footer="0.31496062992125984"/>
  <pageSetup scale="73" orientation="landscape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zoomScaleNormal="100" workbookViewId="0">
      <selection activeCell="D9" sqref="D9"/>
    </sheetView>
  </sheetViews>
  <sheetFormatPr baseColWidth="10" defaultRowHeight="15" x14ac:dyDescent="0.25"/>
  <cols>
    <col min="1" max="1" width="11.42578125" style="24"/>
    <col min="2" max="2" width="10.28515625" style="24" customWidth="1"/>
    <col min="3" max="3" width="5.140625" style="24" customWidth="1"/>
    <col min="4" max="4" width="16.28515625" style="24" customWidth="1"/>
    <col min="5" max="5" width="6.140625" style="24" bestFit="1" customWidth="1"/>
    <col min="6" max="6" width="17.28515625" style="24" bestFit="1" customWidth="1"/>
    <col min="7" max="7" width="6.140625" style="24" bestFit="1" customWidth="1"/>
    <col min="8" max="8" width="17.85546875" style="24" bestFit="1" customWidth="1"/>
    <col min="9" max="9" width="6.7109375" style="24" bestFit="1" customWidth="1"/>
    <col min="10" max="10" width="17.85546875" style="24" bestFit="1" customWidth="1"/>
    <col min="11" max="11" width="6.7109375" style="24" customWidth="1"/>
    <col min="12" max="12" width="17.85546875" style="24" bestFit="1" customWidth="1"/>
    <col min="13" max="13" width="6.7109375" style="24" customWidth="1"/>
    <col min="14" max="14" width="17.85546875" style="24" bestFit="1" customWidth="1"/>
    <col min="15" max="15" width="6.7109375" style="24" customWidth="1"/>
    <col min="16" max="16" width="17.85546875" style="24" customWidth="1"/>
    <col min="17" max="17" width="6.7109375" style="24" customWidth="1"/>
    <col min="18" max="18" width="18.7109375" style="24" customWidth="1"/>
    <col min="19" max="19" width="6.7109375" style="24" customWidth="1"/>
    <col min="20" max="20" width="18.5703125" style="24" hidden="1" customWidth="1"/>
    <col min="21" max="21" width="6.7109375" style="24" hidden="1" customWidth="1"/>
    <col min="22" max="22" width="17.85546875" style="24" bestFit="1" customWidth="1"/>
    <col min="23" max="23" width="6.7109375" style="24" customWidth="1"/>
    <col min="24" max="24" width="17.28515625" style="24" bestFit="1" customWidth="1"/>
    <col min="25" max="25" width="6.7109375" style="24" customWidth="1"/>
    <col min="26" max="26" width="18.140625" style="24" customWidth="1"/>
    <col min="27" max="27" width="7.42578125" style="24" customWidth="1"/>
    <col min="28" max="28" width="17" style="24" bestFit="1" customWidth="1"/>
    <col min="29" max="29" width="7.42578125" style="24" customWidth="1"/>
    <col min="30" max="30" width="18.140625" style="24" customWidth="1"/>
    <col min="31" max="31" width="7.42578125" style="24" customWidth="1"/>
    <col min="32" max="32" width="11.42578125" style="24" customWidth="1"/>
    <col min="33" max="49" width="11.42578125" style="93"/>
    <col min="50" max="57" width="11.42578125" style="64"/>
    <col min="58" max="16384" width="11.42578125" style="24"/>
  </cols>
  <sheetData>
    <row r="1" spans="1:55" ht="15.75" x14ac:dyDescent="0.25">
      <c r="A1" s="170" t="s">
        <v>70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spans="1:55" ht="15.75" x14ac:dyDescent="0.25">
      <c r="A2" s="170" t="str">
        <f>+'ANALISIS POR PROG'!B2</f>
        <v xml:space="preserve">AL 31 DE DICIEMBRE 2018        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124"/>
      <c r="AY2" s="124"/>
      <c r="AZ2" s="124"/>
      <c r="BA2" s="124"/>
      <c r="BB2" s="124"/>
      <c r="BC2" s="124"/>
    </row>
    <row r="3" spans="1:55" ht="15.75" x14ac:dyDescent="0.25">
      <c r="A3" s="170" t="s">
        <v>55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124"/>
      <c r="AY3" s="124"/>
      <c r="AZ3" s="124"/>
      <c r="BA3" s="124"/>
      <c r="BB3" s="124"/>
      <c r="BC3" s="124"/>
    </row>
    <row r="4" spans="1:55" x14ac:dyDescent="0.25">
      <c r="AF4" s="123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124"/>
      <c r="AY4" s="124"/>
      <c r="AZ4" s="124"/>
      <c r="BA4" s="124"/>
      <c r="BB4" s="124"/>
      <c r="BC4" s="124"/>
    </row>
    <row r="5" spans="1:55" x14ac:dyDescent="0.25">
      <c r="A5" s="57" t="s">
        <v>71</v>
      </c>
      <c r="B5" s="216" t="s">
        <v>81</v>
      </c>
      <c r="C5" s="217"/>
      <c r="D5" s="216" t="s">
        <v>82</v>
      </c>
      <c r="E5" s="217"/>
      <c r="F5" s="218" t="s">
        <v>83</v>
      </c>
      <c r="G5" s="219"/>
      <c r="H5" s="218" t="s">
        <v>84</v>
      </c>
      <c r="I5" s="219"/>
      <c r="J5" s="99" t="s">
        <v>88</v>
      </c>
      <c r="K5" s="99"/>
      <c r="L5" s="216" t="s">
        <v>89</v>
      </c>
      <c r="M5" s="217"/>
      <c r="N5" s="116" t="s">
        <v>560</v>
      </c>
      <c r="O5" s="116"/>
      <c r="P5" s="116" t="s">
        <v>566</v>
      </c>
      <c r="Q5" s="116"/>
      <c r="R5" s="216" t="s">
        <v>569</v>
      </c>
      <c r="S5" s="217"/>
      <c r="T5" s="216" t="s">
        <v>570</v>
      </c>
      <c r="U5" s="217"/>
      <c r="V5" s="116" t="s">
        <v>571</v>
      </c>
      <c r="W5" s="116"/>
      <c r="X5" s="216" t="s">
        <v>572</v>
      </c>
      <c r="Y5" s="217"/>
      <c r="Z5" s="216" t="s">
        <v>574</v>
      </c>
      <c r="AA5" s="217"/>
      <c r="AB5" s="216" t="s">
        <v>575</v>
      </c>
      <c r="AC5" s="217"/>
      <c r="AD5" s="216" t="s">
        <v>577</v>
      </c>
      <c r="AE5" s="217"/>
      <c r="AF5" s="123"/>
      <c r="AG5" s="95"/>
      <c r="AH5" s="134" t="str">
        <f>+B5</f>
        <v>07-Enero</v>
      </c>
      <c r="AI5" s="135" t="str">
        <f>+D5</f>
        <v>02-Febrero</v>
      </c>
      <c r="AJ5" s="135" t="s">
        <v>83</v>
      </c>
      <c r="AK5" s="135" t="s">
        <v>84</v>
      </c>
      <c r="AL5" s="135" t="s">
        <v>88</v>
      </c>
      <c r="AM5" s="135" t="s">
        <v>89</v>
      </c>
      <c r="AN5" s="135" t="s">
        <v>560</v>
      </c>
      <c r="AO5" s="135" t="s">
        <v>566</v>
      </c>
      <c r="AP5" s="135" t="s">
        <v>569</v>
      </c>
      <c r="AQ5" s="135" t="s">
        <v>570</v>
      </c>
      <c r="AR5" s="135" t="s">
        <v>571</v>
      </c>
      <c r="AS5" s="135" t="s">
        <v>572</v>
      </c>
      <c r="AT5" s="135" t="s">
        <v>574</v>
      </c>
      <c r="AU5" s="135" t="s">
        <v>575</v>
      </c>
      <c r="AV5" s="135" t="s">
        <v>577</v>
      </c>
      <c r="AW5" s="95"/>
      <c r="AX5" s="124"/>
      <c r="AY5" s="124"/>
      <c r="AZ5" s="124"/>
      <c r="BA5" s="124"/>
      <c r="BB5" s="124"/>
      <c r="BC5" s="124"/>
    </row>
    <row r="6" spans="1:55" x14ac:dyDescent="0.25">
      <c r="A6" s="83"/>
      <c r="B6" s="61" t="s">
        <v>80</v>
      </c>
      <c r="C6" s="61" t="s">
        <v>72</v>
      </c>
      <c r="D6" s="61" t="s">
        <v>80</v>
      </c>
      <c r="E6" s="61" t="s">
        <v>72</v>
      </c>
      <c r="F6" s="61" t="s">
        <v>80</v>
      </c>
      <c r="G6" s="61" t="s">
        <v>72</v>
      </c>
      <c r="H6" s="61" t="s">
        <v>80</v>
      </c>
      <c r="I6" s="61" t="s">
        <v>72</v>
      </c>
      <c r="J6" s="61" t="s">
        <v>80</v>
      </c>
      <c r="K6" s="61" t="s">
        <v>72</v>
      </c>
      <c r="L6" s="61" t="s">
        <v>80</v>
      </c>
      <c r="M6" s="61" t="s">
        <v>72</v>
      </c>
      <c r="N6" s="61" t="s">
        <v>80</v>
      </c>
      <c r="O6" s="61" t="s">
        <v>72</v>
      </c>
      <c r="P6" s="61" t="s">
        <v>80</v>
      </c>
      <c r="Q6" s="61" t="s">
        <v>72</v>
      </c>
      <c r="R6" s="61" t="s">
        <v>80</v>
      </c>
      <c r="S6" s="61" t="s">
        <v>72</v>
      </c>
      <c r="T6" s="61" t="s">
        <v>80</v>
      </c>
      <c r="U6" s="61" t="s">
        <v>72</v>
      </c>
      <c r="V6" s="61" t="s">
        <v>80</v>
      </c>
      <c r="W6" s="61" t="s">
        <v>72</v>
      </c>
      <c r="X6" s="61" t="s">
        <v>80</v>
      </c>
      <c r="Y6" s="61" t="s">
        <v>72</v>
      </c>
      <c r="Z6" s="61" t="s">
        <v>80</v>
      </c>
      <c r="AA6" s="61" t="s">
        <v>72</v>
      </c>
      <c r="AB6" s="61" t="s">
        <v>80</v>
      </c>
      <c r="AC6" s="61" t="s">
        <v>72</v>
      </c>
      <c r="AD6" s="61" t="s">
        <v>80</v>
      </c>
      <c r="AE6" s="61" t="s">
        <v>72</v>
      </c>
      <c r="AF6" s="123"/>
      <c r="AG6" s="95" t="s">
        <v>75</v>
      </c>
      <c r="AH6" s="136">
        <f>+C7</f>
        <v>0</v>
      </c>
      <c r="AI6" s="136">
        <f>+E7</f>
        <v>7.0419120509668698E-2</v>
      </c>
      <c r="AJ6" s="136">
        <f>+G7</f>
        <v>0.1051920636379533</v>
      </c>
      <c r="AK6" s="136">
        <f>+I7</f>
        <v>0.16634194867651356</v>
      </c>
      <c r="AL6" s="136">
        <f>+K7</f>
        <v>0.16634194867651356</v>
      </c>
      <c r="AM6" s="136">
        <f>+M7</f>
        <v>0.21380633958732984</v>
      </c>
      <c r="AN6" s="136">
        <f>+O7</f>
        <v>0.26041464032126493</v>
      </c>
      <c r="AO6" s="136">
        <f>+Q7</f>
        <v>0.30336542002214928</v>
      </c>
      <c r="AP6" s="136">
        <f>+S7</f>
        <v>0.35385834581634595</v>
      </c>
      <c r="AQ6" s="136">
        <f>+U7</f>
        <v>0.52629880850785726</v>
      </c>
      <c r="AR6" s="136">
        <f>+W7</f>
        <v>0.54138361692075698</v>
      </c>
      <c r="AS6" s="136">
        <f>+Y7</f>
        <v>0.59700785352283037</v>
      </c>
      <c r="AT6" s="136">
        <v>0.70674797079911356</v>
      </c>
      <c r="AU6" s="136">
        <v>0.76869545581451726</v>
      </c>
      <c r="AV6" s="136">
        <f>+AE7</f>
        <v>0.89499962324247895</v>
      </c>
      <c r="AW6" s="137"/>
      <c r="AX6" s="125"/>
      <c r="AY6" s="125"/>
      <c r="AZ6" s="125"/>
      <c r="BA6" s="125"/>
      <c r="BB6" s="125"/>
      <c r="BC6" s="125"/>
    </row>
    <row r="7" spans="1:55" x14ac:dyDescent="0.25">
      <c r="A7" s="79" t="s">
        <v>75</v>
      </c>
      <c r="B7" s="74">
        <v>0</v>
      </c>
      <c r="C7" s="90">
        <v>0</v>
      </c>
      <c r="D7" s="74">
        <v>245250994.83000001</v>
      </c>
      <c r="E7" s="90">
        <v>7.0419120509668698E-2</v>
      </c>
      <c r="F7" s="74">
        <v>366355871.37</v>
      </c>
      <c r="G7" s="90">
        <v>0.1051920636379533</v>
      </c>
      <c r="H7" s="100">
        <v>579324593.94000006</v>
      </c>
      <c r="I7" s="90">
        <v>0.16634194867651356</v>
      </c>
      <c r="J7" s="100">
        <v>579324593.94000006</v>
      </c>
      <c r="K7" s="90">
        <v>0.16634194867651356</v>
      </c>
      <c r="L7" s="100">
        <v>744630394.49000001</v>
      </c>
      <c r="M7" s="90">
        <v>0.21380633958732984</v>
      </c>
      <c r="N7" s="100">
        <v>906954661.52999997</v>
      </c>
      <c r="O7" s="90">
        <v>0.26041464032126493</v>
      </c>
      <c r="P7" s="100">
        <v>1056540759.37</v>
      </c>
      <c r="Q7" s="90">
        <v>0.30336542002214928</v>
      </c>
      <c r="R7" s="74">
        <v>1232394138.3</v>
      </c>
      <c r="S7" s="90">
        <v>0.35385834581634595</v>
      </c>
      <c r="T7" s="126">
        <v>1479237863.0999999</v>
      </c>
      <c r="U7" s="90">
        <v>0.52629880850785726</v>
      </c>
      <c r="V7" s="100">
        <v>1521635868.5699999</v>
      </c>
      <c r="W7" s="90">
        <v>0.54138361692075698</v>
      </c>
      <c r="X7" s="90">
        <v>1677975718.78</v>
      </c>
      <c r="Y7" s="90">
        <v>0.59700785352283037</v>
      </c>
      <c r="Z7" s="74">
        <v>1986415969.74</v>
      </c>
      <c r="AA7" s="90">
        <v>0.70674797079911356</v>
      </c>
      <c r="AB7" s="74">
        <v>2160528211.4499998</v>
      </c>
      <c r="AC7" s="90">
        <v>0.76869545581451726</v>
      </c>
      <c r="AD7" s="74">
        <f>+'ANALISIS POR PROG'!$L$6</f>
        <v>2334886845.4299998</v>
      </c>
      <c r="AE7" s="90">
        <f>+'ANALISIS POR PROG'!$M$6</f>
        <v>0.89499962324247895</v>
      </c>
      <c r="AF7" s="123"/>
      <c r="AG7" s="95" t="s">
        <v>76</v>
      </c>
      <c r="AH7" s="136">
        <f>+C8</f>
        <v>0</v>
      </c>
      <c r="AI7" s="136">
        <f>+E8</f>
        <v>9.847306681403302E-2</v>
      </c>
      <c r="AJ7" s="136">
        <f>+G8</f>
        <v>0.14412050791800232</v>
      </c>
      <c r="AK7" s="136">
        <f>+I8</f>
        <v>0.22521648410063372</v>
      </c>
      <c r="AL7" s="136">
        <f>+K8</f>
        <v>0.22521648410063372</v>
      </c>
      <c r="AM7" s="136">
        <f>+M8</f>
        <v>0.28187128888614627</v>
      </c>
      <c r="AN7" s="136">
        <f>+O8</f>
        <v>0.33919628395495699</v>
      </c>
      <c r="AO7" s="136">
        <f>+Q8</f>
        <v>0.39732708495640168</v>
      </c>
      <c r="AP7" s="136">
        <f>+S8</f>
        <v>0.46004519725307963</v>
      </c>
      <c r="AQ7" s="136">
        <f>+U8</f>
        <v>0.5127507660757088</v>
      </c>
      <c r="AR7" s="136">
        <f>+W8</f>
        <v>0.54261820773149716</v>
      </c>
      <c r="AS7" s="136">
        <f>+Y8</f>
        <v>0.60221737638396511</v>
      </c>
      <c r="AT7" s="136">
        <v>0.67315665049193119</v>
      </c>
      <c r="AU7" s="136">
        <v>0.74984207286196081</v>
      </c>
      <c r="AV7" s="136">
        <f>+AE8</f>
        <v>0.90653598428089932</v>
      </c>
      <c r="AW7" s="137"/>
      <c r="AX7" s="125"/>
      <c r="AY7" s="125"/>
      <c r="AZ7" s="125"/>
      <c r="BA7" s="125"/>
      <c r="BB7" s="125"/>
      <c r="BC7" s="125"/>
    </row>
    <row r="8" spans="1:55" x14ac:dyDescent="0.25">
      <c r="A8" s="79" t="s">
        <v>76</v>
      </c>
      <c r="B8" s="74">
        <v>0</v>
      </c>
      <c r="C8" s="90">
        <v>0</v>
      </c>
      <c r="D8" s="74">
        <v>89363224.930000007</v>
      </c>
      <c r="E8" s="90">
        <v>9.847306681403302E-2</v>
      </c>
      <c r="F8" s="74">
        <v>130787775.61</v>
      </c>
      <c r="G8" s="90">
        <v>0.14412050791800232</v>
      </c>
      <c r="H8" s="100">
        <v>204381481.94</v>
      </c>
      <c r="I8" s="90">
        <v>0.22521648410063372</v>
      </c>
      <c r="J8" s="100">
        <v>204381481.94</v>
      </c>
      <c r="K8" s="90">
        <v>0.22521648410063372</v>
      </c>
      <c r="L8" s="100">
        <v>255795094.08000001</v>
      </c>
      <c r="M8" s="90">
        <v>0.28187128888614627</v>
      </c>
      <c r="N8" s="100">
        <v>307816896.52999997</v>
      </c>
      <c r="O8" s="90">
        <v>0.33919628395495699</v>
      </c>
      <c r="P8" s="100">
        <v>360569959</v>
      </c>
      <c r="Q8" s="90">
        <v>0.39732708495640168</v>
      </c>
      <c r="R8" s="74">
        <v>417485956.00999999</v>
      </c>
      <c r="S8" s="90">
        <v>0.46004519725307963</v>
      </c>
      <c r="T8" s="126">
        <v>449305830.50999999</v>
      </c>
      <c r="U8" s="90">
        <v>0.5127507660757088</v>
      </c>
      <c r="V8" s="100">
        <v>475477640.61000001</v>
      </c>
      <c r="W8" s="90">
        <v>0.54261820773149716</v>
      </c>
      <c r="X8" s="90">
        <v>527702338.73000002</v>
      </c>
      <c r="Y8" s="90">
        <v>0.60221737638396511</v>
      </c>
      <c r="Z8" s="74">
        <v>589863980.55999994</v>
      </c>
      <c r="AA8" s="90">
        <v>0.67315665049193119</v>
      </c>
      <c r="AB8" s="74">
        <v>657060774.13999999</v>
      </c>
      <c r="AC8" s="90">
        <v>0.74984207286196081</v>
      </c>
      <c r="AD8" s="74">
        <f>+'ANALISIS POR PROG'!$L$7</f>
        <v>937922572.63</v>
      </c>
      <c r="AE8" s="90">
        <f>+'ANALISIS POR PROG'!$M$7</f>
        <v>0.90653598428089932</v>
      </c>
      <c r="AF8" s="123"/>
      <c r="AG8" s="95" t="s">
        <v>77</v>
      </c>
      <c r="AH8" s="136">
        <f>+C9</f>
        <v>0</v>
      </c>
      <c r="AI8" s="136">
        <f>+E9</f>
        <v>0.1034676705007908</v>
      </c>
      <c r="AJ8" s="136">
        <f>+G9</f>
        <v>0.14685775682797078</v>
      </c>
      <c r="AK8" s="136">
        <f>+I9</f>
        <v>0.23832923646647955</v>
      </c>
      <c r="AL8" s="136">
        <f>+K9</f>
        <v>0.23832923646647955</v>
      </c>
      <c r="AM8" s="136">
        <f>+M9</f>
        <v>0.30143125937641302</v>
      </c>
      <c r="AN8" s="136">
        <f>+O9</f>
        <v>0.35710474336060977</v>
      </c>
      <c r="AO8" s="136">
        <f>+Q9</f>
        <v>0.42067539423026834</v>
      </c>
      <c r="AP8" s="136">
        <f>+S9</f>
        <v>0.48457547136075985</v>
      </c>
      <c r="AQ8" s="136">
        <f>+U9</f>
        <v>0.5420373509532308</v>
      </c>
      <c r="AR8" s="136">
        <f>+W9</f>
        <v>0.57130568807912852</v>
      </c>
      <c r="AS8" s="136">
        <f>+Y9</f>
        <v>0.64107788372986207</v>
      </c>
      <c r="AT8" s="136">
        <v>0.71372859373685638</v>
      </c>
      <c r="AU8" s="136">
        <v>0.78155259840657876</v>
      </c>
      <c r="AV8" s="136">
        <f>+AE9</f>
        <v>0.91642886961981485</v>
      </c>
      <c r="AW8" s="137"/>
      <c r="AX8" s="125"/>
      <c r="AY8" s="125"/>
      <c r="AZ8" s="125"/>
      <c r="BA8" s="125"/>
      <c r="BB8" s="125"/>
      <c r="BC8" s="125"/>
    </row>
    <row r="9" spans="1:55" x14ac:dyDescent="0.25">
      <c r="A9" s="79" t="s">
        <v>77</v>
      </c>
      <c r="B9" s="74">
        <v>0</v>
      </c>
      <c r="C9" s="90">
        <v>0</v>
      </c>
      <c r="D9" s="74">
        <v>993084770.82000005</v>
      </c>
      <c r="E9" s="90">
        <v>0.1034676705007908</v>
      </c>
      <c r="F9" s="74">
        <v>1409543687.1900001</v>
      </c>
      <c r="G9" s="90">
        <v>0.14685775682797078</v>
      </c>
      <c r="H9" s="100">
        <v>2287488778.1900001</v>
      </c>
      <c r="I9" s="90">
        <v>0.23832923646647955</v>
      </c>
      <c r="J9" s="100">
        <v>2287488778.1900001</v>
      </c>
      <c r="K9" s="90">
        <v>0.23832923646647955</v>
      </c>
      <c r="L9" s="100">
        <v>2893143256.1199999</v>
      </c>
      <c r="M9" s="90">
        <v>0.30143125937641302</v>
      </c>
      <c r="N9" s="100">
        <v>3427498468.8699999</v>
      </c>
      <c r="O9" s="90">
        <v>0.35710474336060977</v>
      </c>
      <c r="P9" s="100">
        <v>4037650847.3299999</v>
      </c>
      <c r="Q9" s="90">
        <v>0.42067539423026834</v>
      </c>
      <c r="R9" s="74">
        <v>4650965065.6300001</v>
      </c>
      <c r="S9" s="90">
        <v>0.48457547136075985</v>
      </c>
      <c r="T9" s="126">
        <v>5018766614.3999996</v>
      </c>
      <c r="U9" s="90">
        <v>0.5420373509532308</v>
      </c>
      <c r="V9" s="100">
        <v>5289764457.9399996</v>
      </c>
      <c r="W9" s="90">
        <v>0.57130568807912852</v>
      </c>
      <c r="X9" s="90">
        <v>5935790724.4499998</v>
      </c>
      <c r="Y9" s="90">
        <v>0.64107788372986207</v>
      </c>
      <c r="Z9" s="74">
        <v>6608469382.5799999</v>
      </c>
      <c r="AA9" s="90">
        <v>0.71372859373685638</v>
      </c>
      <c r="AB9" s="74">
        <v>7236457195.0299997</v>
      </c>
      <c r="AC9" s="90">
        <v>0.78155259840657876</v>
      </c>
      <c r="AD9" s="74">
        <f>+'ANALISIS POR PROG'!$L$8</f>
        <v>9843333943.6599998</v>
      </c>
      <c r="AE9" s="90">
        <f>+'ANALISIS POR PROG'!$M$8</f>
        <v>0.91642886961981485</v>
      </c>
      <c r="AF9" s="123"/>
      <c r="AG9" s="95" t="s">
        <v>78</v>
      </c>
      <c r="AH9" s="136">
        <f>+C10</f>
        <v>0</v>
      </c>
      <c r="AI9" s="136">
        <f>+E10</f>
        <v>8.2754659490175769E-2</v>
      </c>
      <c r="AJ9" s="136">
        <f>+G10</f>
        <v>0.12395199074682743</v>
      </c>
      <c r="AK9" s="136">
        <f>+I10</f>
        <v>0.2057917742419221</v>
      </c>
      <c r="AL9" s="136">
        <f>+K10</f>
        <v>0.2057917742419221</v>
      </c>
      <c r="AM9" s="136">
        <f>+M10</f>
        <v>0.26576438671716529</v>
      </c>
      <c r="AN9" s="136">
        <f>+O10</f>
        <v>0.32424020876802151</v>
      </c>
      <c r="AO9" s="136">
        <f>+Q10</f>
        <v>0.38137051910877928</v>
      </c>
      <c r="AP9" s="136">
        <f>+S10</f>
        <v>0.44617821619113329</v>
      </c>
      <c r="AQ9" s="136">
        <f>+U10</f>
        <v>0.48714224106997811</v>
      </c>
      <c r="AR9" s="136">
        <f>+W10</f>
        <v>0.5099788499543082</v>
      </c>
      <c r="AS9" s="136">
        <f>+Y10</f>
        <v>0.57139356645109007</v>
      </c>
      <c r="AT9" s="136">
        <v>0.63477107375470487</v>
      </c>
      <c r="AU9" s="136">
        <v>0.70808288615654291</v>
      </c>
      <c r="AV9" s="136">
        <f>+AE10</f>
        <v>0.91824714655403794</v>
      </c>
      <c r="AW9" s="137"/>
      <c r="AX9" s="125"/>
      <c r="AY9" s="125"/>
      <c r="AZ9" s="125"/>
      <c r="BA9" s="125"/>
      <c r="BB9" s="125"/>
      <c r="BC9" s="125"/>
    </row>
    <row r="10" spans="1:55" x14ac:dyDescent="0.25">
      <c r="A10" s="79" t="s">
        <v>78</v>
      </c>
      <c r="B10" s="74">
        <v>0</v>
      </c>
      <c r="C10" s="90">
        <v>0</v>
      </c>
      <c r="D10" s="74">
        <v>7496056829.2399998</v>
      </c>
      <c r="E10" s="90">
        <v>8.2754659490175769E-2</v>
      </c>
      <c r="F10" s="74">
        <v>11227780676.76</v>
      </c>
      <c r="G10" s="90">
        <v>0.12395199074682743</v>
      </c>
      <c r="H10" s="100">
        <v>18640966493.139999</v>
      </c>
      <c r="I10" s="90">
        <v>0.2057917742419221</v>
      </c>
      <c r="J10" s="100">
        <v>18640966493.139999</v>
      </c>
      <c r="K10" s="90">
        <v>0.2057917742419221</v>
      </c>
      <c r="L10" s="100">
        <v>24073387024.889999</v>
      </c>
      <c r="M10" s="90">
        <v>0.26576438671716529</v>
      </c>
      <c r="N10" s="100">
        <v>29370225751.919998</v>
      </c>
      <c r="O10" s="90">
        <v>0.32424020876802151</v>
      </c>
      <c r="P10" s="100">
        <v>34545185755.68</v>
      </c>
      <c r="Q10" s="90">
        <v>0.38137051910877928</v>
      </c>
      <c r="R10" s="74">
        <v>40415576417.599998</v>
      </c>
      <c r="S10" s="90">
        <v>0.44617821619113329</v>
      </c>
      <c r="T10" s="126">
        <v>44159402879.379997</v>
      </c>
      <c r="U10" s="90">
        <v>0.48714224106997811</v>
      </c>
      <c r="V10" s="100">
        <v>46229539539.889999</v>
      </c>
      <c r="W10" s="90">
        <v>0.5099788499543082</v>
      </c>
      <c r="X10" s="90">
        <v>51796778386.900002</v>
      </c>
      <c r="Y10" s="90">
        <v>0.57139356645109007</v>
      </c>
      <c r="Z10" s="74">
        <v>57541944054.25</v>
      </c>
      <c r="AA10" s="90">
        <v>0.63477107375470487</v>
      </c>
      <c r="AB10" s="74">
        <v>64187653637.059998</v>
      </c>
      <c r="AC10" s="90">
        <v>0.70808288615654291</v>
      </c>
      <c r="AD10" s="74">
        <f>+'ANALISIS POR PROG'!$L$9</f>
        <v>98043556410.990005</v>
      </c>
      <c r="AE10" s="90">
        <f>+'ANALISIS POR PROG'!$M$9</f>
        <v>0.91824714655403794</v>
      </c>
      <c r="AF10" s="123"/>
      <c r="AG10" s="95" t="s">
        <v>79</v>
      </c>
      <c r="AH10" s="136">
        <f>+C11</f>
        <v>0</v>
      </c>
      <c r="AI10" s="136">
        <f>+E11</f>
        <v>0.11570925218181546</v>
      </c>
      <c r="AJ10" s="136">
        <f>+G11</f>
        <v>0.1626488165739505</v>
      </c>
      <c r="AK10" s="136">
        <f>+I11</f>
        <v>0.25129019514931733</v>
      </c>
      <c r="AL10" s="136">
        <f>+K11</f>
        <v>0.25129019514931733</v>
      </c>
      <c r="AM10" s="136">
        <f>+M11</f>
        <v>0.31431923888391666</v>
      </c>
      <c r="AN10" s="136">
        <f>+O11</f>
        <v>0.38348291768852633</v>
      </c>
      <c r="AO10" s="136">
        <f>+Q11</f>
        <v>0.44740282664124387</v>
      </c>
      <c r="AP10" s="136">
        <f>+S11</f>
        <v>0.51275678897521071</v>
      </c>
      <c r="AQ10" s="136">
        <f>+U11</f>
        <v>0.5531082270342087</v>
      </c>
      <c r="AR10" s="136">
        <f>+W11</f>
        <v>0.57968585922017446</v>
      </c>
      <c r="AS10" s="136">
        <f>+Y11</f>
        <v>0.64460673182559847</v>
      </c>
      <c r="AT10" s="136">
        <v>0.70797571855644348</v>
      </c>
      <c r="AU10" s="136">
        <v>0.77281210486863083</v>
      </c>
      <c r="AV10" s="136">
        <f>+AE11</f>
        <v>0.96481758095528558</v>
      </c>
      <c r="AW10" s="137"/>
      <c r="AX10" s="125"/>
      <c r="AY10" s="125"/>
      <c r="AZ10" s="125"/>
      <c r="BA10" s="125"/>
      <c r="BB10" s="125"/>
      <c r="BC10" s="125"/>
    </row>
    <row r="11" spans="1:55" x14ac:dyDescent="0.25">
      <c r="A11" s="79" t="s">
        <v>79</v>
      </c>
      <c r="B11" s="74">
        <v>0</v>
      </c>
      <c r="C11" s="90">
        <v>0</v>
      </c>
      <c r="D11" s="74">
        <v>1570413954.55</v>
      </c>
      <c r="E11" s="90">
        <v>0.11570925218181546</v>
      </c>
      <c r="F11" s="74">
        <v>2207480961.3099999</v>
      </c>
      <c r="G11" s="90">
        <v>0.1626488165739505</v>
      </c>
      <c r="H11" s="100">
        <v>3410527867.5900002</v>
      </c>
      <c r="I11" s="90">
        <v>0.25129019514931733</v>
      </c>
      <c r="J11" s="100">
        <v>3410527867.5900002</v>
      </c>
      <c r="K11" s="90">
        <v>0.25129019514931733</v>
      </c>
      <c r="L11" s="100">
        <v>4265962398.1599998</v>
      </c>
      <c r="M11" s="90">
        <v>0.31431923888391666</v>
      </c>
      <c r="N11" s="100">
        <v>5204656619.1899996</v>
      </c>
      <c r="O11" s="90">
        <v>0.38348291768852633</v>
      </c>
      <c r="P11" s="100">
        <v>6072182033.9700003</v>
      </c>
      <c r="Q11" s="90">
        <v>0.44740282664124387</v>
      </c>
      <c r="R11" s="74">
        <v>6959170520.1899996</v>
      </c>
      <c r="S11" s="90">
        <v>0.51275678897521071</v>
      </c>
      <c r="T11" s="126">
        <v>7463433045.3299999</v>
      </c>
      <c r="U11" s="90">
        <v>0.5531082270342087</v>
      </c>
      <c r="V11" s="100">
        <v>7822061553.5100002</v>
      </c>
      <c r="W11" s="90">
        <v>0.57968585922017446</v>
      </c>
      <c r="X11" s="90">
        <v>8698079233.6900005</v>
      </c>
      <c r="Y11" s="90">
        <v>0.64460673182559847</v>
      </c>
      <c r="Z11" s="74">
        <v>9553156353.3199997</v>
      </c>
      <c r="AA11" s="90">
        <v>0.70797571855644348</v>
      </c>
      <c r="AB11" s="74">
        <v>10428034007.440001</v>
      </c>
      <c r="AC11" s="90">
        <v>0.77281210486863083</v>
      </c>
      <c r="AD11" s="74">
        <f>+'ANALISIS POR PROG'!$L$10</f>
        <v>12682816792.959999</v>
      </c>
      <c r="AE11" s="90">
        <f>+'ANALISIS POR PROG'!$M$10</f>
        <v>0.96481758095528558</v>
      </c>
      <c r="AF11" s="123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124"/>
      <c r="AY11" s="124"/>
      <c r="AZ11" s="124"/>
      <c r="BA11" s="124"/>
      <c r="BB11" s="124"/>
      <c r="BC11" s="124"/>
    </row>
    <row r="12" spans="1:55" x14ac:dyDescent="0.25">
      <c r="A12" s="54" t="s">
        <v>15</v>
      </c>
      <c r="B12" s="55">
        <f>SUM(B7:B11)</f>
        <v>0</v>
      </c>
      <c r="C12" s="91">
        <f t="shared" ref="C12" si="0">SUM(C7:C11)</f>
        <v>0</v>
      </c>
      <c r="D12" s="55">
        <f>SUM(D7:D11)</f>
        <v>10394169774.369999</v>
      </c>
      <c r="E12" s="91"/>
      <c r="F12" s="55">
        <f>SUM(F7:F11)</f>
        <v>15341948972.24</v>
      </c>
      <c r="G12" s="91"/>
      <c r="H12" s="101">
        <v>25122689214.799999</v>
      </c>
      <c r="I12" s="91"/>
      <c r="J12" s="101">
        <v>25122689214.799999</v>
      </c>
      <c r="K12" s="91"/>
      <c r="L12" s="55">
        <f>SUM(L7:L11)</f>
        <v>32232918167.739998</v>
      </c>
      <c r="M12" s="91"/>
      <c r="N12" s="101">
        <v>39217152398.040001</v>
      </c>
      <c r="O12" s="91"/>
      <c r="P12" s="101">
        <v>46072129355.349998</v>
      </c>
      <c r="Q12" s="91"/>
      <c r="R12" s="101">
        <f>SUM(R7:R11)</f>
        <v>53675592097.730003</v>
      </c>
      <c r="S12" s="91"/>
      <c r="T12" s="101">
        <f>SUM(T7:T11)</f>
        <v>58570146232.720001</v>
      </c>
      <c r="U12" s="91"/>
      <c r="V12" s="101">
        <f>SUM(V7:V11)</f>
        <v>61338479060.519997</v>
      </c>
      <c r="W12" s="91"/>
      <c r="X12" s="101">
        <f>SUM(X7:X11)</f>
        <v>68636326402.550003</v>
      </c>
      <c r="Y12" s="91"/>
      <c r="Z12" s="101">
        <v>76279849740.450012</v>
      </c>
      <c r="AA12" s="91"/>
      <c r="AB12" s="101">
        <v>84669733825.119995</v>
      </c>
      <c r="AC12" s="91"/>
      <c r="AD12" s="101">
        <f>SUM(AD7:AD11)</f>
        <v>123842516565.67001</v>
      </c>
      <c r="AE12" s="91"/>
      <c r="AF12" s="123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124"/>
      <c r="AY12" s="124"/>
      <c r="AZ12" s="124"/>
      <c r="BA12" s="124"/>
      <c r="BB12" s="124"/>
      <c r="BC12" s="124"/>
    </row>
    <row r="13" spans="1:55" x14ac:dyDescent="0.25">
      <c r="A13" s="78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123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124"/>
      <c r="AY13" s="124"/>
      <c r="AZ13" s="124"/>
      <c r="BA13" s="124"/>
      <c r="BB13" s="124"/>
      <c r="BC13" s="124"/>
    </row>
    <row r="14" spans="1:55" x14ac:dyDescent="0.25">
      <c r="AF14" s="123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124"/>
      <c r="AY14" s="124"/>
      <c r="AZ14" s="124"/>
      <c r="BA14" s="124"/>
      <c r="BB14" s="124"/>
      <c r="BC14" s="124"/>
    </row>
    <row r="15" spans="1:55" x14ac:dyDescent="0.25"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124"/>
      <c r="AY15" s="124"/>
      <c r="AZ15" s="124"/>
      <c r="BA15" s="124"/>
      <c r="BB15" s="124"/>
      <c r="BC15" s="124"/>
    </row>
    <row r="16" spans="1:55" x14ac:dyDescent="0.25"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124"/>
      <c r="AY16" s="124"/>
      <c r="AZ16" s="124"/>
      <c r="BA16" s="124"/>
      <c r="BB16" s="124"/>
      <c r="BC16" s="124"/>
    </row>
    <row r="17" spans="33:55" x14ac:dyDescent="0.25"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124"/>
      <c r="AY17" s="124"/>
      <c r="AZ17" s="124"/>
      <c r="BA17" s="124"/>
      <c r="BB17" s="124"/>
      <c r="BC17" s="124"/>
    </row>
    <row r="18" spans="33:55" x14ac:dyDescent="0.25"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124"/>
      <c r="AY18" s="124"/>
      <c r="AZ18" s="124"/>
      <c r="BA18" s="124"/>
      <c r="BB18" s="124"/>
      <c r="BC18" s="124"/>
    </row>
    <row r="19" spans="33:55" x14ac:dyDescent="0.25"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124"/>
      <c r="AY19" s="124"/>
      <c r="AZ19" s="124"/>
      <c r="BA19" s="124"/>
      <c r="BB19" s="124"/>
      <c r="BC19" s="124"/>
    </row>
    <row r="20" spans="33:55" x14ac:dyDescent="0.25"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124"/>
      <c r="AY20" s="124"/>
      <c r="AZ20" s="124"/>
      <c r="BA20" s="124"/>
      <c r="BB20" s="124"/>
      <c r="BC20" s="124"/>
    </row>
    <row r="21" spans="33:55" x14ac:dyDescent="0.25"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124"/>
      <c r="AY21" s="124"/>
      <c r="AZ21" s="124"/>
      <c r="BA21" s="124"/>
      <c r="BB21" s="124"/>
      <c r="BC21" s="124"/>
    </row>
    <row r="22" spans="33:55" x14ac:dyDescent="0.25"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124"/>
      <c r="AY22" s="124"/>
      <c r="AZ22" s="124"/>
      <c r="BA22" s="124"/>
      <c r="BB22" s="124"/>
      <c r="BC22" s="124"/>
    </row>
    <row r="23" spans="33:55" x14ac:dyDescent="0.25"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124"/>
      <c r="AY23" s="124"/>
      <c r="AZ23" s="124"/>
      <c r="BA23" s="124"/>
      <c r="BB23" s="124"/>
      <c r="BC23" s="124"/>
    </row>
    <row r="24" spans="33:55" x14ac:dyDescent="0.25"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124"/>
      <c r="AY24" s="124"/>
      <c r="AZ24" s="124"/>
      <c r="BA24" s="124"/>
      <c r="BB24" s="124"/>
      <c r="BC24" s="124"/>
    </row>
    <row r="25" spans="33:55" x14ac:dyDescent="0.25"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124"/>
      <c r="AY25" s="124"/>
      <c r="AZ25" s="124"/>
      <c r="BA25" s="124"/>
      <c r="BB25" s="124"/>
      <c r="BC25" s="124"/>
    </row>
    <row r="26" spans="33:55" x14ac:dyDescent="0.25"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124"/>
      <c r="AY26" s="124"/>
      <c r="AZ26" s="124"/>
      <c r="BA26" s="124"/>
      <c r="BB26" s="124"/>
      <c r="BC26" s="124"/>
    </row>
  </sheetData>
  <mergeCells count="14">
    <mergeCell ref="D5:E5"/>
    <mergeCell ref="A1:AE1"/>
    <mergeCell ref="A2:AE2"/>
    <mergeCell ref="A3:AE3"/>
    <mergeCell ref="B5:C5"/>
    <mergeCell ref="AD5:AE5"/>
    <mergeCell ref="F5:G5"/>
    <mergeCell ref="H5:I5"/>
    <mergeCell ref="L5:M5"/>
    <mergeCell ref="R5:S5"/>
    <mergeCell ref="T5:U5"/>
    <mergeCell ref="X5:Y5"/>
    <mergeCell ref="Z5:AA5"/>
    <mergeCell ref="AB5:AC5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Estado</vt:lpstr>
      <vt:lpstr>Resumen Estado</vt:lpstr>
      <vt:lpstr>SIGAF</vt:lpstr>
      <vt:lpstr>Hoja4</vt:lpstr>
      <vt:lpstr>Resumen por Partida</vt:lpstr>
      <vt:lpstr>COMPORT. RESUMEN</vt:lpstr>
      <vt:lpstr>MENSUAL</vt:lpstr>
      <vt:lpstr>ANALISIS POR PROG</vt:lpstr>
      <vt:lpstr>Ejecucion por Programa</vt:lpstr>
      <vt:lpstr>RESUMEN</vt:lpstr>
      <vt:lpstr>COMPARATIVO</vt:lpstr>
      <vt:lpstr>proyeccion</vt:lpstr>
      <vt:lpstr>'ANALISIS POR PROG'!Área_de_impresión</vt:lpstr>
      <vt:lpstr>Estado!Área_de_impresión</vt:lpstr>
      <vt:lpstr>RESUMEN!Área_de_impresión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Arroyo Hernadez</dc:creator>
  <cp:lastModifiedBy>Roy Torres León</cp:lastModifiedBy>
  <cp:lastPrinted>2018-08-06T16:55:50Z</cp:lastPrinted>
  <dcterms:created xsi:type="dcterms:W3CDTF">2015-09-07T19:14:27Z</dcterms:created>
  <dcterms:modified xsi:type="dcterms:W3CDTF">2019-04-24T14:40:04Z</dcterms:modified>
</cp:coreProperties>
</file>