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amacho\Desktop\"/>
    </mc:Choice>
  </mc:AlternateContent>
  <bookViews>
    <workbookView xWindow="0" yWindow="0" windowWidth="19200" windowHeight="11595" tabRatio="725" activeTab="1"/>
  </bookViews>
  <sheets>
    <sheet name="Estado" sheetId="2" r:id="rId1"/>
    <sheet name="Resumen Estado" sheetId="1" r:id="rId2"/>
    <sheet name="SIGAF" sheetId="7" state="hidden" r:id="rId3"/>
    <sheet name="Hoja4" sheetId="4" state="hidden" r:id="rId4"/>
    <sheet name="Resumen por Partida" sheetId="5" r:id="rId5"/>
    <sheet name="COMPORT. RESUMEN" sheetId="8" r:id="rId6"/>
    <sheet name="MENSUAL" sheetId="9" r:id="rId7"/>
    <sheet name="ANALISIS POR PROG" sheetId="10" r:id="rId8"/>
    <sheet name="Ejecucion por Programa" sheetId="11" state="hidden" r:id="rId9"/>
    <sheet name="RESUMEN" sheetId="12" r:id="rId10"/>
    <sheet name="COMPARATIVO" sheetId="13" r:id="rId11"/>
    <sheet name="proyeccion" sheetId="6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2" hidden="1">SIGAF!$A$1:$P$475</definedName>
    <definedName name="_xlnm.Print_Area" localSheetId="7">'ANALISIS POR PROG'!$A$1:$P$34</definedName>
    <definedName name="_xlnm.Print_Area" localSheetId="0">Estado!$A$1:$R$204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3" l="1"/>
  <c r="E47" i="13"/>
  <c r="E46" i="13"/>
  <c r="E45" i="13"/>
  <c r="E44" i="13"/>
  <c r="D49" i="13"/>
  <c r="E7" i="13"/>
  <c r="E6" i="13"/>
  <c r="E5" i="13"/>
  <c r="E4" i="13"/>
  <c r="E3" i="13"/>
  <c r="D8" i="13"/>
  <c r="W25" i="1" l="1"/>
  <c r="U25" i="1"/>
  <c r="T25" i="1"/>
  <c r="S25" i="1"/>
  <c r="AB10" i="8"/>
  <c r="AB9" i="8"/>
  <c r="AB8" i="8"/>
  <c r="AB7" i="8"/>
  <c r="AB6" i="8"/>
  <c r="AB5" i="8"/>
  <c r="AB4" i="8"/>
  <c r="AB3" i="8"/>
  <c r="Z9" i="8"/>
  <c r="Z8" i="8"/>
  <c r="Z7" i="8"/>
  <c r="Z6" i="8"/>
  <c r="Z5" i="8"/>
  <c r="Z4" i="8"/>
  <c r="Z3" i="8"/>
  <c r="W10" i="8"/>
  <c r="AA10" i="8"/>
  <c r="V10" i="8"/>
  <c r="W11" i="10"/>
  <c r="U11" i="10"/>
  <c r="T11" i="10"/>
  <c r="N10" i="10"/>
  <c r="L10" i="10"/>
  <c r="J10" i="10"/>
  <c r="G10" i="10"/>
  <c r="E10" i="10"/>
  <c r="C10" i="10"/>
  <c r="N8" i="10"/>
  <c r="L8" i="10"/>
  <c r="J8" i="10"/>
  <c r="G8" i="10"/>
  <c r="E8" i="10"/>
  <c r="C8" i="10"/>
  <c r="N7" i="10"/>
  <c r="L7" i="10"/>
  <c r="J7" i="10"/>
  <c r="G7" i="10"/>
  <c r="E7" i="10"/>
  <c r="C7" i="10"/>
  <c r="N6" i="10"/>
  <c r="L6" i="10"/>
  <c r="J6" i="10"/>
  <c r="G6" i="10"/>
  <c r="E6" i="10"/>
  <c r="C6" i="10"/>
  <c r="I10" i="10" l="1"/>
  <c r="Y10" i="8"/>
  <c r="Z10" i="8" s="1"/>
  <c r="X10" i="8"/>
  <c r="M10" i="10"/>
  <c r="O6" i="10"/>
  <c r="O10" i="10"/>
  <c r="I7" i="10"/>
  <c r="I8" i="10"/>
  <c r="O8" i="10"/>
  <c r="O7" i="10"/>
  <c r="M7" i="10"/>
  <c r="M8" i="10"/>
  <c r="I6" i="10"/>
  <c r="X11" i="10"/>
  <c r="V11" i="10"/>
  <c r="Y11" i="10"/>
  <c r="Z11" i="10" s="1"/>
  <c r="C24" i="12"/>
  <c r="N9" i="10"/>
  <c r="L9" i="10"/>
  <c r="J9" i="10"/>
  <c r="G9" i="10"/>
  <c r="E9" i="10"/>
  <c r="C9" i="10"/>
  <c r="I9" i="10" l="1"/>
  <c r="M9" i="10"/>
  <c r="O9" i="10"/>
  <c r="E24" i="12" l="1"/>
  <c r="D24" i="12"/>
  <c r="H6" i="10" l="1"/>
  <c r="K6" i="10"/>
  <c r="F7" i="10"/>
  <c r="H7" i="10"/>
  <c r="K7" i="10"/>
  <c r="L11" i="10"/>
  <c r="N11" i="10"/>
  <c r="F8" i="10"/>
  <c r="H8" i="10"/>
  <c r="K8" i="10"/>
  <c r="F9" i="10"/>
  <c r="K9" i="10"/>
  <c r="H10" i="10"/>
  <c r="F10" i="10"/>
  <c r="K10" i="10"/>
  <c r="J11" i="10"/>
  <c r="F6" i="10" l="1"/>
  <c r="M6" i="10"/>
  <c r="C11" i="10"/>
  <c r="G11" i="10"/>
  <c r="H9" i="10"/>
  <c r="E11" i="10"/>
  <c r="O11" i="10" l="1"/>
  <c r="D9" i="10"/>
  <c r="C6" i="13" s="1"/>
  <c r="D8" i="10"/>
  <c r="C5" i="13" s="1"/>
  <c r="D6" i="10"/>
  <c r="I11" i="10"/>
  <c r="M11" i="10"/>
  <c r="D7" i="10"/>
  <c r="C4" i="13" s="1"/>
  <c r="D10" i="10"/>
  <c r="C7" i="13" s="1"/>
  <c r="H11" i="10"/>
  <c r="K11" i="10"/>
  <c r="F11" i="10"/>
  <c r="C20" i="12" l="1"/>
  <c r="E20" i="12"/>
  <c r="D20" i="12"/>
  <c r="E16" i="12"/>
  <c r="D16" i="12"/>
  <c r="C16" i="12"/>
  <c r="E12" i="12"/>
  <c r="D12" i="12"/>
  <c r="C12" i="12"/>
  <c r="E8" i="12"/>
  <c r="D8" i="12"/>
  <c r="C8" i="12"/>
  <c r="C4" i="12" l="1"/>
  <c r="C26" i="12" s="1"/>
  <c r="D4" i="12"/>
  <c r="D26" i="12" s="1"/>
  <c r="E4" i="12"/>
  <c r="B7" i="13"/>
  <c r="B6" i="13"/>
  <c r="B5" i="13"/>
  <c r="B4" i="13"/>
  <c r="B3" i="13"/>
  <c r="F4" i="12" l="1"/>
  <c r="H2" i="13"/>
  <c r="G2" i="13"/>
  <c r="B148" i="5"/>
  <c r="B149" i="5"/>
  <c r="B150" i="5"/>
  <c r="A148" i="5"/>
  <c r="A149" i="5"/>
  <c r="A150" i="5"/>
  <c r="A13" i="1"/>
  <c r="Q199" i="2"/>
  <c r="O199" i="2"/>
  <c r="O198" i="2" s="1"/>
  <c r="M199" i="2"/>
  <c r="M198" i="2" s="1"/>
  <c r="M197" i="2" s="1"/>
  <c r="M10" i="8" s="1"/>
  <c r="K199" i="2"/>
  <c r="I199" i="2"/>
  <c r="H146" i="4" s="1"/>
  <c r="H145" i="4" s="1"/>
  <c r="H144" i="4" s="1"/>
  <c r="G199" i="2"/>
  <c r="G146" i="4" s="1"/>
  <c r="E199" i="2"/>
  <c r="F146" i="4" s="1"/>
  <c r="E150" i="5" s="1"/>
  <c r="E149" i="5" s="1"/>
  <c r="E148" i="5" s="1"/>
  <c r="D199" i="2"/>
  <c r="E146" i="4" s="1"/>
  <c r="D150" i="5" s="1"/>
  <c r="D149" i="5" s="1"/>
  <c r="D148" i="5" s="1"/>
  <c r="C199" i="2"/>
  <c r="C198" i="2" s="1"/>
  <c r="C197" i="2" s="1"/>
  <c r="D196" i="2"/>
  <c r="D195" i="2"/>
  <c r="D193" i="2"/>
  <c r="D191" i="2"/>
  <c r="D190" i="2"/>
  <c r="D189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7" i="2"/>
  <c r="D166" i="2"/>
  <c r="D165" i="2"/>
  <c r="D164" i="2"/>
  <c r="D162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7" i="2"/>
  <c r="D56" i="2"/>
  <c r="D55" i="2"/>
  <c r="D54" i="2"/>
  <c r="D53" i="2"/>
  <c r="D51" i="2"/>
  <c r="D50" i="2"/>
  <c r="D49" i="2"/>
  <c r="D48" i="2"/>
  <c r="D47" i="2"/>
  <c r="D45" i="2"/>
  <c r="D44" i="2"/>
  <c r="D43" i="2"/>
  <c r="D42" i="2"/>
  <c r="D41" i="2"/>
  <c r="D39" i="2"/>
  <c r="D38" i="2"/>
  <c r="D37" i="2"/>
  <c r="D36" i="2"/>
  <c r="D35" i="2"/>
  <c r="D34" i="2"/>
  <c r="D32" i="2"/>
  <c r="D31" i="2"/>
  <c r="D30" i="2"/>
  <c r="D29" i="2"/>
  <c r="D28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O196" i="2"/>
  <c r="O195" i="2"/>
  <c r="O193" i="2"/>
  <c r="O191" i="2"/>
  <c r="O190" i="2"/>
  <c r="O189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7" i="2"/>
  <c r="O166" i="2"/>
  <c r="O165" i="2"/>
  <c r="O164" i="2"/>
  <c r="O162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7" i="2"/>
  <c r="O56" i="2"/>
  <c r="O55" i="2"/>
  <c r="O54" i="2"/>
  <c r="O53" i="2"/>
  <c r="O51" i="2"/>
  <c r="O50" i="2"/>
  <c r="O49" i="2"/>
  <c r="O48" i="2"/>
  <c r="O47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Q196" i="2"/>
  <c r="Q195" i="2"/>
  <c r="Q193" i="2"/>
  <c r="Q191" i="2"/>
  <c r="Q190" i="2"/>
  <c r="Q189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7" i="2"/>
  <c r="Q166" i="2"/>
  <c r="Q165" i="2"/>
  <c r="Q164" i="2"/>
  <c r="Q162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7" i="2"/>
  <c r="Q56" i="2"/>
  <c r="Q55" i="2"/>
  <c r="Q54" i="2"/>
  <c r="Q53" i="2"/>
  <c r="Q51" i="2"/>
  <c r="Q50" i="2"/>
  <c r="Q49" i="2"/>
  <c r="Q48" i="2"/>
  <c r="Q47" i="2"/>
  <c r="Q45" i="2"/>
  <c r="Q44" i="2"/>
  <c r="Q43" i="2"/>
  <c r="Q42" i="2"/>
  <c r="Q41" i="2"/>
  <c r="Q39" i="2"/>
  <c r="Q38" i="2"/>
  <c r="Q37" i="2"/>
  <c r="Q36" i="2"/>
  <c r="Q35" i="2"/>
  <c r="Q34" i="2"/>
  <c r="Q32" i="2"/>
  <c r="Q31" i="2"/>
  <c r="Q30" i="2"/>
  <c r="Q29" i="2"/>
  <c r="Q28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O10" i="2"/>
  <c r="N12" i="10" s="1"/>
  <c r="M196" i="2"/>
  <c r="M195" i="2"/>
  <c r="M193" i="2"/>
  <c r="M191" i="2"/>
  <c r="M190" i="2"/>
  <c r="M189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7" i="2"/>
  <c r="M166" i="2"/>
  <c r="M165" i="2"/>
  <c r="M164" i="2"/>
  <c r="M162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7" i="2"/>
  <c r="M56" i="2"/>
  <c r="M55" i="2"/>
  <c r="M54" i="2"/>
  <c r="M53" i="2"/>
  <c r="M51" i="2"/>
  <c r="M50" i="2"/>
  <c r="M49" i="2"/>
  <c r="M48" i="2"/>
  <c r="M47" i="2"/>
  <c r="M45" i="2"/>
  <c r="M44" i="2"/>
  <c r="M43" i="2"/>
  <c r="M42" i="2"/>
  <c r="M41" i="2"/>
  <c r="M39" i="2"/>
  <c r="M38" i="2"/>
  <c r="M37" i="2"/>
  <c r="M36" i="2"/>
  <c r="M35" i="2"/>
  <c r="M34" i="2"/>
  <c r="M32" i="2"/>
  <c r="M31" i="2"/>
  <c r="M30" i="2"/>
  <c r="M29" i="2"/>
  <c r="M28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K196" i="2"/>
  <c r="K195" i="2"/>
  <c r="K193" i="2"/>
  <c r="K191" i="2"/>
  <c r="K190" i="2"/>
  <c r="K189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7" i="2"/>
  <c r="K166" i="2"/>
  <c r="K165" i="2"/>
  <c r="K164" i="2"/>
  <c r="K162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7" i="2"/>
  <c r="K56" i="2"/>
  <c r="K55" i="2"/>
  <c r="K54" i="2"/>
  <c r="K53" i="2"/>
  <c r="K51" i="2"/>
  <c r="K50" i="2"/>
  <c r="K49" i="2"/>
  <c r="K48" i="2"/>
  <c r="K47" i="2"/>
  <c r="K45" i="2"/>
  <c r="K44" i="2"/>
  <c r="K43" i="2"/>
  <c r="K42" i="2"/>
  <c r="K41" i="2"/>
  <c r="K39" i="2"/>
  <c r="K38" i="2"/>
  <c r="K37" i="2"/>
  <c r="K36" i="2"/>
  <c r="K35" i="2"/>
  <c r="K34" i="2"/>
  <c r="K32" i="2"/>
  <c r="K31" i="2"/>
  <c r="K30" i="2"/>
  <c r="K29" i="2"/>
  <c r="K28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L12" i="10" s="1"/>
  <c r="I196" i="2"/>
  <c r="I195" i="2"/>
  <c r="I193" i="2"/>
  <c r="I191" i="2"/>
  <c r="I190" i="2"/>
  <c r="I189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7" i="2"/>
  <c r="I166" i="2"/>
  <c r="I165" i="2"/>
  <c r="I164" i="2"/>
  <c r="I162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7" i="2"/>
  <c r="I56" i="2"/>
  <c r="I55" i="2"/>
  <c r="I54" i="2"/>
  <c r="I53" i="2"/>
  <c r="I51" i="2"/>
  <c r="I50" i="2"/>
  <c r="I49" i="2"/>
  <c r="I48" i="2"/>
  <c r="I47" i="2"/>
  <c r="I45" i="2"/>
  <c r="I44" i="2"/>
  <c r="I43" i="2"/>
  <c r="I42" i="2"/>
  <c r="I41" i="2"/>
  <c r="I39" i="2"/>
  <c r="I38" i="2"/>
  <c r="I37" i="2"/>
  <c r="I36" i="2"/>
  <c r="I35" i="2"/>
  <c r="I34" i="2"/>
  <c r="I32" i="2"/>
  <c r="I31" i="2"/>
  <c r="I30" i="2"/>
  <c r="I29" i="2"/>
  <c r="I28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G196" i="2"/>
  <c r="G195" i="2"/>
  <c r="G193" i="2"/>
  <c r="G191" i="2"/>
  <c r="G190" i="2"/>
  <c r="G189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7" i="2"/>
  <c r="G166" i="2"/>
  <c r="G165" i="2"/>
  <c r="G164" i="2"/>
  <c r="G162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7" i="2"/>
  <c r="G56" i="2"/>
  <c r="G55" i="2"/>
  <c r="G54" i="2"/>
  <c r="G53" i="2"/>
  <c r="G51" i="2"/>
  <c r="G50" i="2"/>
  <c r="G49" i="2"/>
  <c r="G48" i="2"/>
  <c r="G47" i="2"/>
  <c r="G45" i="2"/>
  <c r="G44" i="2"/>
  <c r="G43" i="2"/>
  <c r="G42" i="2"/>
  <c r="G41" i="2"/>
  <c r="G39" i="2"/>
  <c r="G38" i="2"/>
  <c r="G37" i="2"/>
  <c r="G36" i="2"/>
  <c r="G35" i="2"/>
  <c r="G34" i="2"/>
  <c r="G32" i="2"/>
  <c r="G31" i="2"/>
  <c r="G30" i="2"/>
  <c r="G29" i="2"/>
  <c r="G28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12" i="10" s="1"/>
  <c r="E196" i="2"/>
  <c r="E195" i="2"/>
  <c r="E193" i="2"/>
  <c r="E191" i="2"/>
  <c r="E190" i="2"/>
  <c r="E189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7" i="2"/>
  <c r="E166" i="2"/>
  <c r="E165" i="2"/>
  <c r="E164" i="2"/>
  <c r="E162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7" i="2"/>
  <c r="E56" i="2"/>
  <c r="E55" i="2"/>
  <c r="E54" i="2"/>
  <c r="E53" i="2"/>
  <c r="E51" i="2"/>
  <c r="E50" i="2"/>
  <c r="E49" i="2"/>
  <c r="E48" i="2"/>
  <c r="E47" i="2"/>
  <c r="E45" i="2"/>
  <c r="E44" i="2"/>
  <c r="E43" i="2"/>
  <c r="E42" i="2"/>
  <c r="E41" i="2"/>
  <c r="E39" i="2"/>
  <c r="E38" i="2"/>
  <c r="E37" i="2"/>
  <c r="E36" i="2"/>
  <c r="E35" i="2"/>
  <c r="E34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12" i="10" s="1"/>
  <c r="C196" i="2"/>
  <c r="C195" i="2"/>
  <c r="C193" i="2"/>
  <c r="C192" i="2" s="1"/>
  <c r="C191" i="2"/>
  <c r="C190" i="2"/>
  <c r="C189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7" i="2"/>
  <c r="C166" i="2"/>
  <c r="C165" i="2"/>
  <c r="C164" i="2"/>
  <c r="C162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7" i="2"/>
  <c r="C56" i="2"/>
  <c r="C55" i="2"/>
  <c r="C54" i="2"/>
  <c r="C53" i="2"/>
  <c r="C51" i="2"/>
  <c r="C50" i="2"/>
  <c r="C49" i="2"/>
  <c r="C48" i="2"/>
  <c r="C47" i="2"/>
  <c r="C45" i="2"/>
  <c r="C44" i="2"/>
  <c r="C43" i="2"/>
  <c r="C42" i="2"/>
  <c r="C41" i="2"/>
  <c r="C39" i="2"/>
  <c r="C38" i="2"/>
  <c r="C37" i="2"/>
  <c r="C36" i="2"/>
  <c r="C35" i="2"/>
  <c r="C34" i="2"/>
  <c r="C32" i="2"/>
  <c r="C31" i="2"/>
  <c r="C30" i="2"/>
  <c r="C29" i="2"/>
  <c r="C28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12" i="10" s="1"/>
  <c r="C13" i="1" l="1"/>
  <c r="C24" i="1" s="1"/>
  <c r="L199" i="2"/>
  <c r="C194" i="2"/>
  <c r="K146" i="4"/>
  <c r="K145" i="4" s="1"/>
  <c r="K144" i="4" s="1"/>
  <c r="D198" i="2"/>
  <c r="D197" i="2" s="1"/>
  <c r="D10" i="8" s="1"/>
  <c r="I146" i="4"/>
  <c r="I145" i="4" s="1"/>
  <c r="I144" i="4" s="1"/>
  <c r="H199" i="2"/>
  <c r="D146" i="4"/>
  <c r="D145" i="4" s="1"/>
  <c r="D144" i="4" s="1"/>
  <c r="C10" i="8"/>
  <c r="E145" i="4"/>
  <c r="E144" i="4" s="1"/>
  <c r="F145" i="4"/>
  <c r="F144" i="4" s="1"/>
  <c r="G145" i="4"/>
  <c r="P198" i="2"/>
  <c r="O197" i="2"/>
  <c r="O10" i="8" s="1"/>
  <c r="J199" i="2"/>
  <c r="N198" i="2"/>
  <c r="N199" i="2"/>
  <c r="P199" i="2"/>
  <c r="R199" i="2"/>
  <c r="Q198" i="2"/>
  <c r="K198" i="2"/>
  <c r="D13" i="1"/>
  <c r="F199" i="2"/>
  <c r="E198" i="2"/>
  <c r="G198" i="2"/>
  <c r="I198" i="2"/>
  <c r="N197" i="2"/>
  <c r="V24" i="1" l="1"/>
  <c r="X24" i="1"/>
  <c r="L13" i="1"/>
  <c r="N13" i="1" s="1"/>
  <c r="G150" i="5"/>
  <c r="G149" i="5" s="1"/>
  <c r="G148" i="5" s="1"/>
  <c r="J146" i="4"/>
  <c r="J145" i="4" s="1"/>
  <c r="J144" i="4" s="1"/>
  <c r="L146" i="4"/>
  <c r="H150" i="5" s="1"/>
  <c r="P197" i="2"/>
  <c r="M145" i="4"/>
  <c r="I149" i="5" s="1"/>
  <c r="C150" i="5"/>
  <c r="C149" i="5" s="1"/>
  <c r="C148" i="5" s="1"/>
  <c r="M144" i="4"/>
  <c r="I148" i="5" s="1"/>
  <c r="M146" i="4"/>
  <c r="I150" i="5" s="1"/>
  <c r="G144" i="4"/>
  <c r="L144" i="4" s="1"/>
  <c r="H148" i="5" s="1"/>
  <c r="L145" i="4"/>
  <c r="H149" i="5" s="1"/>
  <c r="I197" i="2"/>
  <c r="I10" i="8" s="1"/>
  <c r="J198" i="2"/>
  <c r="D24" i="1"/>
  <c r="K197" i="2"/>
  <c r="K10" i="8" s="1"/>
  <c r="L198" i="2"/>
  <c r="R198" i="2"/>
  <c r="Q197" i="2"/>
  <c r="Q10" i="8" s="1"/>
  <c r="H198" i="2"/>
  <c r="G197" i="2"/>
  <c r="E197" i="2"/>
  <c r="F198" i="2"/>
  <c r="L24" i="1" l="1"/>
  <c r="N24" i="1" s="1"/>
  <c r="F150" i="5"/>
  <c r="F149" i="5" s="1"/>
  <c r="F148" i="5" s="1"/>
  <c r="E13" i="1"/>
  <c r="E24" i="1" s="1"/>
  <c r="E10" i="8"/>
  <c r="F10" i="8" s="1"/>
  <c r="F13" i="1"/>
  <c r="F24" i="1" s="1"/>
  <c r="G10" i="8"/>
  <c r="R197" i="2"/>
  <c r="L197" i="2"/>
  <c r="H13" i="1"/>
  <c r="G13" i="1"/>
  <c r="J197" i="2"/>
  <c r="F197" i="2"/>
  <c r="H197" i="2"/>
  <c r="B2" i="10"/>
  <c r="B2" i="1"/>
  <c r="A2" i="5"/>
  <c r="M13" i="1" l="1"/>
  <c r="G24" i="1"/>
  <c r="H24" i="1"/>
  <c r="I24" i="1" s="1"/>
  <c r="I13" i="1"/>
  <c r="J13" i="1"/>
  <c r="B63" i="4"/>
  <c r="C63" i="4" s="1"/>
  <c r="B67" i="5" s="1"/>
  <c r="R97" i="2"/>
  <c r="M24" i="1" l="1"/>
  <c r="G63" i="4"/>
  <c r="J24" i="1"/>
  <c r="K24" i="1" s="1"/>
  <c r="K13" i="1"/>
  <c r="E63" i="4"/>
  <c r="D63" i="4"/>
  <c r="A67" i="5"/>
  <c r="F97" i="2"/>
  <c r="P97" i="2"/>
  <c r="N97" i="2"/>
  <c r="L97" i="2"/>
  <c r="J97" i="2"/>
  <c r="F63" i="4"/>
  <c r="I63" i="4"/>
  <c r="H97" i="2"/>
  <c r="H63" i="4"/>
  <c r="K63" i="4"/>
  <c r="J63" i="4" l="1"/>
  <c r="L63" i="4"/>
  <c r="H67" i="5" s="1"/>
  <c r="M63" i="4"/>
  <c r="I67" i="5" s="1"/>
  <c r="F8" i="12"/>
  <c r="R190" i="2" l="1"/>
  <c r="L190" i="2"/>
  <c r="N190" i="2"/>
  <c r="F190" i="2"/>
  <c r="J190" i="2"/>
  <c r="P190" i="2"/>
  <c r="H190" i="2"/>
  <c r="AS7" i="11"/>
  <c r="AS8" i="11"/>
  <c r="AS9" i="11"/>
  <c r="AS10" i="11"/>
  <c r="AS6" i="11"/>
  <c r="X12" i="11" l="1"/>
  <c r="V12" i="11" l="1"/>
  <c r="T12" i="11"/>
  <c r="R12" i="11"/>
  <c r="AR7" i="11"/>
  <c r="AR8" i="11"/>
  <c r="AR9" i="11"/>
  <c r="AR10" i="11"/>
  <c r="AR6" i="11"/>
  <c r="I192" i="2" l="1"/>
  <c r="I58" i="2"/>
  <c r="S117" i="2" l="1"/>
  <c r="I46" i="2"/>
  <c r="I27" i="2"/>
  <c r="I188" i="2"/>
  <c r="J12" i="2"/>
  <c r="I52" i="2"/>
  <c r="I40" i="2"/>
  <c r="I194" i="2"/>
  <c r="I168" i="2"/>
  <c r="I163" i="2"/>
  <c r="I33" i="2"/>
  <c r="I161" i="2"/>
  <c r="AQ7" i="11"/>
  <c r="AQ8" i="11"/>
  <c r="AQ9" i="11"/>
  <c r="AQ10" i="11"/>
  <c r="AQ6" i="11"/>
  <c r="I200" i="2" l="1"/>
  <c r="I201" i="2" s="1"/>
  <c r="AP7" i="11"/>
  <c r="AP8" i="11"/>
  <c r="AP9" i="11"/>
  <c r="AP10" i="11"/>
  <c r="AP6" i="11"/>
  <c r="AO7" i="11" l="1"/>
  <c r="AO8" i="11"/>
  <c r="AO9" i="11"/>
  <c r="AO10" i="11"/>
  <c r="AO6" i="11"/>
  <c r="AN7" i="11" l="1"/>
  <c r="AN8" i="11"/>
  <c r="AN9" i="11"/>
  <c r="AN10" i="11"/>
  <c r="AN6" i="11"/>
  <c r="L12" i="11" l="1"/>
  <c r="AM7" i="11" l="1"/>
  <c r="AM8" i="11"/>
  <c r="AM9" i="11"/>
  <c r="AM10" i="11"/>
  <c r="AM6" i="11"/>
  <c r="J196" i="2" l="1"/>
  <c r="J195" i="2"/>
  <c r="J191" i="2"/>
  <c r="J189" i="2"/>
  <c r="J178" i="2"/>
  <c r="J177" i="2"/>
  <c r="J176" i="2"/>
  <c r="J175" i="2"/>
  <c r="J174" i="2"/>
  <c r="J173" i="2"/>
  <c r="J172" i="2"/>
  <c r="J171" i="2"/>
  <c r="J170" i="2"/>
  <c r="J169" i="2"/>
  <c r="J167" i="2"/>
  <c r="J166" i="2"/>
  <c r="J165" i="2"/>
  <c r="J164" i="2"/>
  <c r="J146" i="2"/>
  <c r="J116" i="2"/>
  <c r="J62" i="2"/>
  <c r="J59" i="2"/>
  <c r="J57" i="2"/>
  <c r="J56" i="2"/>
  <c r="J55" i="2"/>
  <c r="J54" i="2"/>
  <c r="J53" i="2"/>
  <c r="J51" i="2"/>
  <c r="J50" i="2"/>
  <c r="J49" i="2"/>
  <c r="J48" i="2"/>
  <c r="J47" i="2"/>
  <c r="J45" i="2"/>
  <c r="J44" i="2"/>
  <c r="J43" i="2"/>
  <c r="J42" i="2"/>
  <c r="J41" i="2"/>
  <c r="J38" i="2"/>
  <c r="J37" i="2"/>
  <c r="J36" i="2"/>
  <c r="J35" i="2"/>
  <c r="J34" i="2"/>
  <c r="J32" i="2"/>
  <c r="J31" i="2"/>
  <c r="J30" i="2"/>
  <c r="J29" i="2"/>
  <c r="J28" i="2"/>
  <c r="J10" i="2"/>
  <c r="J11" i="2" l="1"/>
  <c r="J71" i="2"/>
  <c r="J104" i="2"/>
  <c r="J136" i="2"/>
  <c r="J72" i="2"/>
  <c r="J105" i="2"/>
  <c r="J145" i="2"/>
  <c r="J73" i="2"/>
  <c r="J106" i="2"/>
  <c r="J138" i="2"/>
  <c r="J74" i="2"/>
  <c r="J107" i="2"/>
  <c r="J139" i="2"/>
  <c r="J13" i="2"/>
  <c r="J21" i="2"/>
  <c r="J39" i="2"/>
  <c r="J67" i="2"/>
  <c r="J75" i="2"/>
  <c r="J83" i="2"/>
  <c r="J91" i="2"/>
  <c r="J100" i="2"/>
  <c r="J108" i="2"/>
  <c r="J124" i="2"/>
  <c r="J132" i="2"/>
  <c r="J140" i="2"/>
  <c r="J148" i="2"/>
  <c r="J156" i="2"/>
  <c r="J183" i="2"/>
  <c r="J17" i="2"/>
  <c r="J87" i="2"/>
  <c r="J120" i="2"/>
  <c r="J152" i="2"/>
  <c r="J187" i="2"/>
  <c r="J18" i="2"/>
  <c r="J88" i="2"/>
  <c r="J121" i="2"/>
  <c r="J153" i="2"/>
  <c r="J81" i="2"/>
  <c r="J114" i="2"/>
  <c r="J181" i="2"/>
  <c r="J66" i="2"/>
  <c r="J99" i="2"/>
  <c r="J131" i="2"/>
  <c r="J14" i="2"/>
  <c r="J22" i="2"/>
  <c r="J60" i="2"/>
  <c r="J68" i="2"/>
  <c r="J76" i="2"/>
  <c r="J84" i="2"/>
  <c r="J92" i="2"/>
  <c r="J101" i="2"/>
  <c r="J109" i="2"/>
  <c r="J117" i="2"/>
  <c r="J125" i="2"/>
  <c r="J133" i="2"/>
  <c r="J141" i="2"/>
  <c r="J149" i="2"/>
  <c r="J157" i="2"/>
  <c r="J184" i="2"/>
  <c r="J79" i="2"/>
  <c r="J112" i="2"/>
  <c r="J144" i="2"/>
  <c r="J179" i="2"/>
  <c r="J80" i="2"/>
  <c r="J113" i="2"/>
  <c r="J137" i="2"/>
  <c r="J180" i="2"/>
  <c r="J65" i="2"/>
  <c r="J98" i="2"/>
  <c r="J130" i="2"/>
  <c r="J20" i="2"/>
  <c r="J90" i="2"/>
  <c r="J123" i="2"/>
  <c r="J155" i="2"/>
  <c r="J193" i="2"/>
  <c r="J15" i="2"/>
  <c r="J23" i="2"/>
  <c r="J61" i="2"/>
  <c r="J69" i="2"/>
  <c r="J77" i="2"/>
  <c r="J85" i="2"/>
  <c r="J93" i="2"/>
  <c r="J102" i="2"/>
  <c r="J110" i="2"/>
  <c r="J118" i="2"/>
  <c r="J126" i="2"/>
  <c r="J134" i="2"/>
  <c r="J142" i="2"/>
  <c r="J150" i="2"/>
  <c r="J158" i="2"/>
  <c r="J185" i="2"/>
  <c r="J25" i="2"/>
  <c r="J63" i="2"/>
  <c r="J95" i="2"/>
  <c r="J128" i="2"/>
  <c r="J160" i="2"/>
  <c r="J26" i="2"/>
  <c r="J64" i="2"/>
  <c r="J96" i="2"/>
  <c r="J129" i="2"/>
  <c r="J162" i="2"/>
  <c r="J19" i="2"/>
  <c r="J89" i="2"/>
  <c r="J122" i="2"/>
  <c r="J154" i="2"/>
  <c r="J82" i="2"/>
  <c r="J115" i="2"/>
  <c r="J147" i="2"/>
  <c r="J182" i="2"/>
  <c r="J16" i="2"/>
  <c r="J24" i="2"/>
  <c r="J70" i="2"/>
  <c r="J78" i="2"/>
  <c r="J86" i="2"/>
  <c r="J94" i="2"/>
  <c r="J103" i="2"/>
  <c r="J111" i="2"/>
  <c r="J119" i="2"/>
  <c r="J127" i="2"/>
  <c r="J135" i="2"/>
  <c r="J143" i="2"/>
  <c r="J151" i="2"/>
  <c r="J159" i="2"/>
  <c r="J186" i="2"/>
  <c r="B5" i="4"/>
  <c r="G5" i="4" s="1"/>
  <c r="D5" i="4" l="1"/>
  <c r="A9" i="5"/>
  <c r="B142" i="4"/>
  <c r="B143" i="4"/>
  <c r="B141" i="4"/>
  <c r="B138" i="4"/>
  <c r="B139" i="4"/>
  <c r="B140" i="4"/>
  <c r="B132" i="4"/>
  <c r="B133" i="4"/>
  <c r="B134" i="4"/>
  <c r="D134" i="4" s="1"/>
  <c r="B135" i="4"/>
  <c r="D135" i="4" s="1"/>
  <c r="B136" i="4"/>
  <c r="D136" i="4" s="1"/>
  <c r="B137" i="4"/>
  <c r="D137" i="4" s="1"/>
  <c r="B131" i="4"/>
  <c r="B130" i="4"/>
  <c r="A134" i="5" s="1"/>
  <c r="B126" i="4"/>
  <c r="B127" i="4"/>
  <c r="B128" i="4"/>
  <c r="B129" i="4"/>
  <c r="A133" i="5" s="1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90" i="4"/>
  <c r="D90" i="4" s="1"/>
  <c r="B91" i="4"/>
  <c r="D91" i="4" s="1"/>
  <c r="B92" i="4"/>
  <c r="D92" i="4" s="1"/>
  <c r="B93" i="4"/>
  <c r="D93" i="4" s="1"/>
  <c r="B94" i="4"/>
  <c r="D94" i="4" s="1"/>
  <c r="B95" i="4"/>
  <c r="D95" i="4" s="1"/>
  <c r="B96" i="4"/>
  <c r="D96" i="4" s="1"/>
  <c r="B97" i="4"/>
  <c r="D97" i="4" s="1"/>
  <c r="B98" i="4"/>
  <c r="D98" i="4" s="1"/>
  <c r="B99" i="4"/>
  <c r="D99" i="4" s="1"/>
  <c r="B100" i="4"/>
  <c r="D100" i="4" s="1"/>
  <c r="B101" i="4"/>
  <c r="D101" i="4" s="1"/>
  <c r="B102" i="4"/>
  <c r="D102" i="4" s="1"/>
  <c r="B78" i="4"/>
  <c r="D78" i="4" s="1"/>
  <c r="B79" i="4"/>
  <c r="D79" i="4" s="1"/>
  <c r="B80" i="4"/>
  <c r="D80" i="4" s="1"/>
  <c r="B81" i="4"/>
  <c r="D81" i="4" s="1"/>
  <c r="B82" i="4"/>
  <c r="B83" i="4"/>
  <c r="D83" i="4" s="1"/>
  <c r="B84" i="4"/>
  <c r="D84" i="4" s="1"/>
  <c r="B85" i="4"/>
  <c r="D85" i="4" s="1"/>
  <c r="B86" i="4"/>
  <c r="D86" i="4" s="1"/>
  <c r="B87" i="4"/>
  <c r="D87" i="4" s="1"/>
  <c r="B88" i="4"/>
  <c r="D88" i="4" s="1"/>
  <c r="B89" i="4"/>
  <c r="D89" i="4" s="1"/>
  <c r="B67" i="4"/>
  <c r="D67" i="4" s="1"/>
  <c r="B68" i="4"/>
  <c r="D68" i="4" s="1"/>
  <c r="B69" i="4"/>
  <c r="D69" i="4" s="1"/>
  <c r="B70" i="4"/>
  <c r="D70" i="4" s="1"/>
  <c r="B71" i="4"/>
  <c r="D71" i="4" s="1"/>
  <c r="B72" i="4"/>
  <c r="D72" i="4" s="1"/>
  <c r="B73" i="4"/>
  <c r="D73" i="4" s="1"/>
  <c r="B74" i="4"/>
  <c r="D74" i="4" s="1"/>
  <c r="B75" i="4"/>
  <c r="D75" i="4" s="1"/>
  <c r="B76" i="4"/>
  <c r="D76" i="4" s="1"/>
  <c r="B77" i="4"/>
  <c r="D77" i="4" s="1"/>
  <c r="B54" i="4"/>
  <c r="D54" i="4" s="1"/>
  <c r="B55" i="4"/>
  <c r="D55" i="4" s="1"/>
  <c r="B56" i="4"/>
  <c r="D56" i="4" s="1"/>
  <c r="B57" i="4"/>
  <c r="D57" i="4" s="1"/>
  <c r="B58" i="4"/>
  <c r="D58" i="4" s="1"/>
  <c r="B59" i="4"/>
  <c r="D59" i="4" s="1"/>
  <c r="B60" i="4"/>
  <c r="D60" i="4" s="1"/>
  <c r="B61" i="4"/>
  <c r="D61" i="4" s="1"/>
  <c r="B62" i="4"/>
  <c r="D62" i="4" s="1"/>
  <c r="B64" i="4"/>
  <c r="D64" i="4" s="1"/>
  <c r="B65" i="4"/>
  <c r="D65" i="4" s="1"/>
  <c r="B66" i="4"/>
  <c r="D66" i="4" s="1"/>
  <c r="B46" i="4"/>
  <c r="D46" i="4" s="1"/>
  <c r="B47" i="4"/>
  <c r="D47" i="4" s="1"/>
  <c r="B48" i="4"/>
  <c r="D48" i="4" s="1"/>
  <c r="B49" i="4"/>
  <c r="D49" i="4" s="1"/>
  <c r="B50" i="4"/>
  <c r="D50" i="4" s="1"/>
  <c r="B51" i="4"/>
  <c r="D51" i="4" s="1"/>
  <c r="B52" i="4"/>
  <c r="D52" i="4" s="1"/>
  <c r="B53" i="4"/>
  <c r="D53" i="4" s="1"/>
  <c r="B38" i="4"/>
  <c r="D38" i="4" s="1"/>
  <c r="B39" i="4"/>
  <c r="D39" i="4" s="1"/>
  <c r="B40" i="4"/>
  <c r="D40" i="4" s="1"/>
  <c r="B41" i="4"/>
  <c r="D41" i="4" s="1"/>
  <c r="B42" i="4"/>
  <c r="D42" i="4" s="1"/>
  <c r="B43" i="4"/>
  <c r="D43" i="4" s="1"/>
  <c r="B44" i="4"/>
  <c r="D44" i="4" s="1"/>
  <c r="B45" i="4"/>
  <c r="D45" i="4" s="1"/>
  <c r="B27" i="4"/>
  <c r="D27" i="4" s="1"/>
  <c r="B28" i="4"/>
  <c r="B29" i="4"/>
  <c r="D29" i="4" s="1"/>
  <c r="B30" i="4"/>
  <c r="D30" i="4" s="1"/>
  <c r="B31" i="4"/>
  <c r="D31" i="4" s="1"/>
  <c r="B32" i="4"/>
  <c r="D32" i="4" s="1"/>
  <c r="B33" i="4"/>
  <c r="D33" i="4" s="1"/>
  <c r="B34" i="4"/>
  <c r="D34" i="4" s="1"/>
  <c r="B35" i="4"/>
  <c r="D35" i="4" s="1"/>
  <c r="B36" i="4"/>
  <c r="D36" i="4" s="1"/>
  <c r="B37" i="4"/>
  <c r="D37" i="4" s="1"/>
  <c r="B26" i="4"/>
  <c r="D26" i="4" s="1"/>
  <c r="B25" i="4"/>
  <c r="B24" i="4"/>
  <c r="B23" i="4"/>
  <c r="B22" i="4"/>
  <c r="B21" i="4"/>
  <c r="D21" i="4" s="1"/>
  <c r="B20" i="4"/>
  <c r="B4" i="4"/>
  <c r="D4" i="4" s="1"/>
  <c r="C5" i="4"/>
  <c r="B9" i="5" s="1"/>
  <c r="B6" i="4"/>
  <c r="D6" i="4" s="1"/>
  <c r="B7" i="4"/>
  <c r="D7" i="4" s="1"/>
  <c r="B8" i="4"/>
  <c r="D8" i="4" s="1"/>
  <c r="B9" i="4"/>
  <c r="D9" i="4" s="1"/>
  <c r="B10" i="4"/>
  <c r="D10" i="4" s="1"/>
  <c r="B11" i="4"/>
  <c r="D11" i="4" s="1"/>
  <c r="B12" i="4"/>
  <c r="D12" i="4" s="1"/>
  <c r="B13" i="4"/>
  <c r="D13" i="4" s="1"/>
  <c r="B14" i="4"/>
  <c r="D14" i="4" s="1"/>
  <c r="B15" i="4"/>
  <c r="D15" i="4" s="1"/>
  <c r="B16" i="4"/>
  <c r="D16" i="4" s="1"/>
  <c r="B17" i="4"/>
  <c r="D17" i="4" s="1"/>
  <c r="B18" i="4"/>
  <c r="B19" i="4"/>
  <c r="B3" i="4"/>
  <c r="A12" i="1"/>
  <c r="A11" i="1"/>
  <c r="A10" i="1"/>
  <c r="A9" i="1"/>
  <c r="A8" i="1"/>
  <c r="A7" i="1"/>
  <c r="D67" i="5" l="1"/>
  <c r="C67" i="5"/>
  <c r="G67" i="5"/>
  <c r="E67" i="5"/>
  <c r="F67" i="5"/>
  <c r="A125" i="5"/>
  <c r="D121" i="4"/>
  <c r="A117" i="5"/>
  <c r="D113" i="4"/>
  <c r="A109" i="5"/>
  <c r="D105" i="4"/>
  <c r="A135" i="5"/>
  <c r="D131" i="4"/>
  <c r="A143" i="5"/>
  <c r="D139" i="4"/>
  <c r="A124" i="5"/>
  <c r="D120" i="4"/>
  <c r="A108" i="5"/>
  <c r="D104" i="4"/>
  <c r="A142" i="5"/>
  <c r="D138" i="4"/>
  <c r="A123" i="5"/>
  <c r="D119" i="4"/>
  <c r="A115" i="5"/>
  <c r="D111" i="4"/>
  <c r="A107" i="5"/>
  <c r="D103" i="4"/>
  <c r="A22" i="5"/>
  <c r="D18" i="4"/>
  <c r="A122" i="5"/>
  <c r="D118" i="4"/>
  <c r="A114" i="5"/>
  <c r="D110" i="4"/>
  <c r="A129" i="5"/>
  <c r="D125" i="4"/>
  <c r="A121" i="5"/>
  <c r="D117" i="4"/>
  <c r="A113" i="5"/>
  <c r="D109" i="4"/>
  <c r="A132" i="5"/>
  <c r="D128" i="4"/>
  <c r="A146" i="5"/>
  <c r="D142" i="4"/>
  <c r="A126" i="5"/>
  <c r="D122" i="4"/>
  <c r="A118" i="5"/>
  <c r="D114" i="4"/>
  <c r="A110" i="5"/>
  <c r="D106" i="4"/>
  <c r="A144" i="5"/>
  <c r="A147" i="5"/>
  <c r="A128" i="5"/>
  <c r="D124" i="4"/>
  <c r="A120" i="5"/>
  <c r="D116" i="4"/>
  <c r="A112" i="5"/>
  <c r="D108" i="4"/>
  <c r="A137" i="5"/>
  <c r="D133" i="4"/>
  <c r="A127" i="5"/>
  <c r="D123" i="4"/>
  <c r="A119" i="5"/>
  <c r="D115" i="4"/>
  <c r="A111" i="5"/>
  <c r="D107" i="4"/>
  <c r="A130" i="5"/>
  <c r="D126" i="4"/>
  <c r="A136" i="5"/>
  <c r="D132" i="4"/>
  <c r="C32" i="4"/>
  <c r="B36" i="5" s="1"/>
  <c r="A36" i="5"/>
  <c r="C55" i="4"/>
  <c r="B59" i="5" s="1"/>
  <c r="A59" i="5"/>
  <c r="C14" i="4"/>
  <c r="B18" i="5" s="1"/>
  <c r="A18" i="5"/>
  <c r="C6" i="4"/>
  <c r="B10" i="5" s="1"/>
  <c r="A10" i="5"/>
  <c r="C50" i="4"/>
  <c r="B54" i="5" s="1"/>
  <c r="A54" i="5"/>
  <c r="C70" i="4"/>
  <c r="B74" i="5" s="1"/>
  <c r="A74" i="5"/>
  <c r="C102" i="4"/>
  <c r="B106" i="5" s="1"/>
  <c r="A106" i="5"/>
  <c r="C13" i="4"/>
  <c r="B17" i="5" s="1"/>
  <c r="A17" i="5"/>
  <c r="C26" i="4"/>
  <c r="B30" i="5" s="1"/>
  <c r="A30" i="5"/>
  <c r="C30" i="4"/>
  <c r="B34" i="5" s="1"/>
  <c r="A34" i="5"/>
  <c r="C49" i="4"/>
  <c r="B53" i="5" s="1"/>
  <c r="A53" i="5"/>
  <c r="C77" i="4"/>
  <c r="B81" i="5" s="1"/>
  <c r="A81" i="5"/>
  <c r="C84" i="4"/>
  <c r="B88" i="5" s="1"/>
  <c r="A88" i="5"/>
  <c r="C93" i="4"/>
  <c r="B97" i="5" s="1"/>
  <c r="A97" i="5"/>
  <c r="C12" i="4"/>
  <c r="B16" i="5" s="1"/>
  <c r="A16" i="5"/>
  <c r="C4" i="4"/>
  <c r="B8" i="5" s="1"/>
  <c r="A8" i="5"/>
  <c r="C37" i="4"/>
  <c r="B41" i="5" s="1"/>
  <c r="A41" i="5"/>
  <c r="C29" i="4"/>
  <c r="B33" i="5" s="1"/>
  <c r="A33" i="5"/>
  <c r="C40" i="4"/>
  <c r="B44" i="5" s="1"/>
  <c r="A44" i="5"/>
  <c r="C48" i="4"/>
  <c r="B52" i="5" s="1"/>
  <c r="A52" i="5"/>
  <c r="C60" i="4"/>
  <c r="B64" i="5" s="1"/>
  <c r="A64" i="5"/>
  <c r="C76" i="4"/>
  <c r="B80" i="5" s="1"/>
  <c r="A80" i="5"/>
  <c r="C68" i="4"/>
  <c r="B72" i="5" s="1"/>
  <c r="A72" i="5"/>
  <c r="C83" i="4"/>
  <c r="B87" i="5" s="1"/>
  <c r="A87" i="5"/>
  <c r="C100" i="4"/>
  <c r="B104" i="5" s="1"/>
  <c r="A104" i="5"/>
  <c r="C92" i="4"/>
  <c r="B96" i="5" s="1"/>
  <c r="A96" i="5"/>
  <c r="C112" i="4"/>
  <c r="B116" i="5" s="1"/>
  <c r="A116" i="5"/>
  <c r="C137" i="4"/>
  <c r="B141" i="5" s="1"/>
  <c r="A141" i="5"/>
  <c r="C7" i="4"/>
  <c r="B11" i="5" s="1"/>
  <c r="A11" i="5"/>
  <c r="C71" i="4"/>
  <c r="B75" i="5" s="1"/>
  <c r="A75" i="5"/>
  <c r="C41" i="4"/>
  <c r="B45" i="5" s="1"/>
  <c r="A45" i="5"/>
  <c r="C61" i="4"/>
  <c r="B65" i="5" s="1"/>
  <c r="A65" i="5"/>
  <c r="C69" i="4"/>
  <c r="B73" i="5" s="1"/>
  <c r="A73" i="5"/>
  <c r="C101" i="4"/>
  <c r="B105" i="5" s="1"/>
  <c r="A105" i="5"/>
  <c r="C19" i="4"/>
  <c r="B23" i="5" s="1"/>
  <c r="A23" i="5"/>
  <c r="C11" i="4"/>
  <c r="B15" i="5" s="1"/>
  <c r="A15" i="5"/>
  <c r="C20" i="4"/>
  <c r="B24" i="5" s="1"/>
  <c r="A24" i="5"/>
  <c r="C36" i="4"/>
  <c r="B40" i="5" s="1"/>
  <c r="A40" i="5"/>
  <c r="C28" i="4"/>
  <c r="B32" i="5" s="1"/>
  <c r="A32" i="5"/>
  <c r="C39" i="4"/>
  <c r="B43" i="5" s="1"/>
  <c r="A43" i="5"/>
  <c r="C47" i="4"/>
  <c r="B51" i="5" s="1"/>
  <c r="A51" i="5"/>
  <c r="C59" i="4"/>
  <c r="B63" i="5" s="1"/>
  <c r="A63" i="5"/>
  <c r="C75" i="4"/>
  <c r="B79" i="5" s="1"/>
  <c r="A79" i="5"/>
  <c r="C67" i="4"/>
  <c r="B71" i="5" s="1"/>
  <c r="A71" i="5"/>
  <c r="C82" i="4"/>
  <c r="B86" i="5" s="1"/>
  <c r="A86" i="5"/>
  <c r="C99" i="4"/>
  <c r="B103" i="5" s="1"/>
  <c r="A103" i="5"/>
  <c r="C91" i="4"/>
  <c r="B95" i="5" s="1"/>
  <c r="A95" i="5"/>
  <c r="C136" i="4"/>
  <c r="B140" i="5" s="1"/>
  <c r="A140" i="5"/>
  <c r="C141" i="4"/>
  <c r="B145" i="5" s="1"/>
  <c r="A145" i="5"/>
  <c r="C51" i="4"/>
  <c r="B55" i="5" s="1"/>
  <c r="A55" i="5"/>
  <c r="C95" i="4"/>
  <c r="B99" i="5" s="1"/>
  <c r="A99" i="5"/>
  <c r="C25" i="4"/>
  <c r="B29" i="5" s="1"/>
  <c r="A29" i="5"/>
  <c r="C54" i="4"/>
  <c r="B58" i="5" s="1"/>
  <c r="A58" i="5"/>
  <c r="C94" i="4"/>
  <c r="B98" i="5" s="1"/>
  <c r="A98" i="5"/>
  <c r="C10" i="4"/>
  <c r="B14" i="5" s="1"/>
  <c r="A14" i="5"/>
  <c r="C35" i="4"/>
  <c r="B39" i="5" s="1"/>
  <c r="A39" i="5"/>
  <c r="C38" i="4"/>
  <c r="B42" i="5" s="1"/>
  <c r="A42" i="5"/>
  <c r="C46" i="4"/>
  <c r="B50" i="5" s="1"/>
  <c r="A50" i="5"/>
  <c r="C58" i="4"/>
  <c r="B62" i="5" s="1"/>
  <c r="A62" i="5"/>
  <c r="C74" i="4"/>
  <c r="B78" i="5" s="1"/>
  <c r="A78" i="5"/>
  <c r="C89" i="4"/>
  <c r="B93" i="5" s="1"/>
  <c r="A93" i="5"/>
  <c r="C81" i="4"/>
  <c r="B85" i="5" s="1"/>
  <c r="A85" i="5"/>
  <c r="C98" i="4"/>
  <c r="B102" i="5" s="1"/>
  <c r="A102" i="5"/>
  <c r="C90" i="4"/>
  <c r="B94" i="5" s="1"/>
  <c r="A94" i="5"/>
  <c r="C135" i="4"/>
  <c r="B139" i="5" s="1"/>
  <c r="A139" i="5"/>
  <c r="C24" i="4"/>
  <c r="B28" i="5" s="1"/>
  <c r="A28" i="5"/>
  <c r="C86" i="4"/>
  <c r="B90" i="5" s="1"/>
  <c r="A90" i="5"/>
  <c r="C42" i="4"/>
  <c r="B46" i="5" s="1"/>
  <c r="A46" i="5"/>
  <c r="C85" i="4"/>
  <c r="B89" i="5" s="1"/>
  <c r="A89" i="5"/>
  <c r="C22" i="4"/>
  <c r="B26" i="5" s="1"/>
  <c r="A26" i="5"/>
  <c r="C45" i="4"/>
  <c r="B49" i="5" s="1"/>
  <c r="A49" i="5"/>
  <c r="C73" i="4"/>
  <c r="B77" i="5" s="1"/>
  <c r="A77" i="5"/>
  <c r="C134" i="4"/>
  <c r="B138" i="5" s="1"/>
  <c r="A138" i="5"/>
  <c r="C15" i="4"/>
  <c r="B19" i="5" s="1"/>
  <c r="A19" i="5"/>
  <c r="C43" i="4"/>
  <c r="B47" i="5" s="1"/>
  <c r="A47" i="5"/>
  <c r="C64" i="4"/>
  <c r="B68" i="5" s="1"/>
  <c r="A68" i="5"/>
  <c r="C78" i="4"/>
  <c r="B82" i="5" s="1"/>
  <c r="A82" i="5"/>
  <c r="C31" i="4"/>
  <c r="B35" i="5" s="1"/>
  <c r="A35" i="5"/>
  <c r="C62" i="4"/>
  <c r="B66" i="5" s="1"/>
  <c r="A66" i="5"/>
  <c r="C21" i="4"/>
  <c r="B25" i="5" s="1"/>
  <c r="A25" i="5"/>
  <c r="C27" i="4"/>
  <c r="B31" i="5" s="1"/>
  <c r="A31" i="5"/>
  <c r="C17" i="4"/>
  <c r="B21" i="5" s="1"/>
  <c r="A21" i="5"/>
  <c r="C9" i="4"/>
  <c r="B13" i="5" s="1"/>
  <c r="A13" i="5"/>
  <c r="C34" i="4"/>
  <c r="B38" i="5" s="1"/>
  <c r="A38" i="5"/>
  <c r="C53" i="4"/>
  <c r="B57" i="5" s="1"/>
  <c r="A57" i="5"/>
  <c r="C66" i="4"/>
  <c r="B70" i="5" s="1"/>
  <c r="A70" i="5"/>
  <c r="C57" i="4"/>
  <c r="B61" i="5" s="1"/>
  <c r="A61" i="5"/>
  <c r="C88" i="4"/>
  <c r="B92" i="5" s="1"/>
  <c r="A92" i="5"/>
  <c r="C80" i="4"/>
  <c r="B84" i="5" s="1"/>
  <c r="A84" i="5"/>
  <c r="C97" i="4"/>
  <c r="B101" i="5" s="1"/>
  <c r="A101" i="5"/>
  <c r="C16" i="4"/>
  <c r="B20" i="5" s="1"/>
  <c r="A20" i="5"/>
  <c r="C8" i="4"/>
  <c r="B12" i="5" s="1"/>
  <c r="E8" i="4"/>
  <c r="A12" i="5"/>
  <c r="C23" i="4"/>
  <c r="B27" i="5" s="1"/>
  <c r="A27" i="5"/>
  <c r="C33" i="4"/>
  <c r="B37" i="5" s="1"/>
  <c r="A37" i="5"/>
  <c r="C44" i="4"/>
  <c r="B48" i="5" s="1"/>
  <c r="A48" i="5"/>
  <c r="C52" i="4"/>
  <c r="B56" i="5" s="1"/>
  <c r="A56" i="5"/>
  <c r="C65" i="4"/>
  <c r="B69" i="5" s="1"/>
  <c r="A69" i="5"/>
  <c r="C56" i="4"/>
  <c r="B60" i="5" s="1"/>
  <c r="A60" i="5"/>
  <c r="C72" i="4"/>
  <c r="B76" i="5" s="1"/>
  <c r="A76" i="5"/>
  <c r="C87" i="4"/>
  <c r="B91" i="5" s="1"/>
  <c r="A91" i="5"/>
  <c r="C79" i="4"/>
  <c r="B83" i="5" s="1"/>
  <c r="A83" i="5"/>
  <c r="C96" i="4"/>
  <c r="B100" i="5" s="1"/>
  <c r="A100" i="5"/>
  <c r="C127" i="4"/>
  <c r="B131" i="5" s="1"/>
  <c r="A131" i="5"/>
  <c r="C123" i="4"/>
  <c r="B127" i="5" s="1"/>
  <c r="C114" i="4"/>
  <c r="B118" i="5" s="1"/>
  <c r="C113" i="4"/>
  <c r="B117" i="5" s="1"/>
  <c r="C131" i="4"/>
  <c r="B135" i="5" s="1"/>
  <c r="C104" i="4"/>
  <c r="B108" i="5" s="1"/>
  <c r="C18" i="4"/>
  <c r="B22" i="5" s="1"/>
  <c r="C118" i="4"/>
  <c r="B122" i="5" s="1"/>
  <c r="C110" i="4"/>
  <c r="B114" i="5" s="1"/>
  <c r="C129" i="4"/>
  <c r="B133" i="5" s="1"/>
  <c r="C143" i="4"/>
  <c r="B147" i="5" s="1"/>
  <c r="C122" i="4"/>
  <c r="B126" i="5" s="1"/>
  <c r="C106" i="4"/>
  <c r="B110" i="5" s="1"/>
  <c r="C130" i="4"/>
  <c r="B134" i="5" s="1"/>
  <c r="C140" i="4"/>
  <c r="B144" i="5" s="1"/>
  <c r="C121" i="4"/>
  <c r="B125" i="5" s="1"/>
  <c r="C105" i="4"/>
  <c r="B109" i="5" s="1"/>
  <c r="C3" i="4"/>
  <c r="B7" i="5" s="1"/>
  <c r="A7" i="5"/>
  <c r="C119" i="4"/>
  <c r="B123" i="5" s="1"/>
  <c r="C111" i="4"/>
  <c r="B115" i="5" s="1"/>
  <c r="C103" i="4"/>
  <c r="B107" i="5" s="1"/>
  <c r="C125" i="4"/>
  <c r="B129" i="5" s="1"/>
  <c r="C117" i="4"/>
  <c r="B121" i="5" s="1"/>
  <c r="C109" i="4"/>
  <c r="B113" i="5" s="1"/>
  <c r="C128" i="4"/>
  <c r="B132" i="5" s="1"/>
  <c r="C142" i="4"/>
  <c r="B146" i="5" s="1"/>
  <c r="C115" i="4"/>
  <c r="B119" i="5" s="1"/>
  <c r="C107" i="4"/>
  <c r="B111" i="5" s="1"/>
  <c r="C126" i="4"/>
  <c r="B130" i="5" s="1"/>
  <c r="C132" i="4"/>
  <c r="B136" i="5" s="1"/>
  <c r="C139" i="4"/>
  <c r="B143" i="5" s="1"/>
  <c r="C120" i="4"/>
  <c r="B124" i="5" s="1"/>
  <c r="C138" i="4"/>
  <c r="B142" i="5" s="1"/>
  <c r="C124" i="4"/>
  <c r="B128" i="5" s="1"/>
  <c r="C116" i="4"/>
  <c r="B120" i="5" s="1"/>
  <c r="C108" i="4"/>
  <c r="B112" i="5" s="1"/>
  <c r="C133" i="4"/>
  <c r="B137" i="5" s="1"/>
  <c r="C188" i="2" l="1"/>
  <c r="D140" i="4" s="1"/>
  <c r="C142" i="5"/>
  <c r="C136" i="5"/>
  <c r="C135" i="5" s="1"/>
  <c r="K135" i="5" s="1"/>
  <c r="C130" i="5"/>
  <c r="C129" i="5" s="1"/>
  <c r="C128" i="5"/>
  <c r="C127" i="5"/>
  <c r="C125" i="5"/>
  <c r="C124" i="5"/>
  <c r="C123" i="5"/>
  <c r="C122" i="5"/>
  <c r="C121" i="5"/>
  <c r="C120" i="5"/>
  <c r="C119" i="5"/>
  <c r="C118" i="5"/>
  <c r="C7" i="8"/>
  <c r="C114" i="5"/>
  <c r="C110" i="5"/>
  <c r="C106" i="5"/>
  <c r="C100" i="5"/>
  <c r="C6" i="8"/>
  <c r="C71" i="5"/>
  <c r="C70" i="5"/>
  <c r="C5" i="8"/>
  <c r="C58" i="2"/>
  <c r="C9" i="5"/>
  <c r="C4" i="8"/>
  <c r="K139" i="4"/>
  <c r="K138" i="4"/>
  <c r="G142" i="5" s="1"/>
  <c r="K133" i="4"/>
  <c r="K132" i="4"/>
  <c r="G136" i="5" s="1"/>
  <c r="G135" i="5" s="1"/>
  <c r="K131" i="4"/>
  <c r="K126" i="4"/>
  <c r="G130" i="5" s="1"/>
  <c r="G129" i="5" s="1"/>
  <c r="K125" i="4"/>
  <c r="K124" i="4"/>
  <c r="G128" i="5" s="1"/>
  <c r="K123" i="4"/>
  <c r="G127" i="5" s="1"/>
  <c r="K122" i="4"/>
  <c r="K121" i="4"/>
  <c r="G125" i="5" s="1"/>
  <c r="K120" i="4"/>
  <c r="G124" i="5" s="1"/>
  <c r="K119" i="4"/>
  <c r="G123" i="5" s="1"/>
  <c r="K118" i="4"/>
  <c r="G122" i="5" s="1"/>
  <c r="K117" i="4"/>
  <c r="G121" i="5" s="1"/>
  <c r="K116" i="4"/>
  <c r="G120" i="5" s="1"/>
  <c r="K115" i="4"/>
  <c r="G119" i="5" s="1"/>
  <c r="K114" i="4"/>
  <c r="G118" i="5" s="1"/>
  <c r="K113" i="4"/>
  <c r="O7" i="8"/>
  <c r="K111" i="4"/>
  <c r="K110" i="4"/>
  <c r="K109" i="4"/>
  <c r="K108" i="4"/>
  <c r="K107" i="4"/>
  <c r="K106" i="4"/>
  <c r="K105" i="4"/>
  <c r="K104" i="4"/>
  <c r="K102" i="4"/>
  <c r="K101" i="4"/>
  <c r="K100" i="4"/>
  <c r="K99" i="4"/>
  <c r="K98" i="4"/>
  <c r="K97" i="4"/>
  <c r="K96" i="4"/>
  <c r="K95" i="4"/>
  <c r="K94" i="4"/>
  <c r="K93" i="4"/>
  <c r="K92" i="4"/>
  <c r="K91" i="4"/>
  <c r="O6" i="8"/>
  <c r="K67" i="4"/>
  <c r="G71" i="5" s="1"/>
  <c r="K66" i="4"/>
  <c r="G70" i="5" s="1"/>
  <c r="O5" i="8"/>
  <c r="O58" i="2"/>
  <c r="M192" i="2"/>
  <c r="M9" i="8" s="1"/>
  <c r="M7" i="8"/>
  <c r="M6" i="8"/>
  <c r="M5" i="8"/>
  <c r="M58" i="2"/>
  <c r="M4" i="8"/>
  <c r="H143" i="4"/>
  <c r="H142" i="4"/>
  <c r="H141" i="4" s="1"/>
  <c r="I9" i="8"/>
  <c r="H140" i="4"/>
  <c r="H139" i="4"/>
  <c r="H138" i="4"/>
  <c r="H133" i="4"/>
  <c r="H132" i="4"/>
  <c r="H131" i="4"/>
  <c r="H130" i="4"/>
  <c r="H129" i="4"/>
  <c r="H128" i="4"/>
  <c r="I8" i="8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I7" i="8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I6" i="8"/>
  <c r="H67" i="4"/>
  <c r="H66" i="4"/>
  <c r="I5" i="8"/>
  <c r="H22" i="4"/>
  <c r="I139" i="4"/>
  <c r="I138" i="4"/>
  <c r="I133" i="4"/>
  <c r="I132" i="4"/>
  <c r="I131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K7" i="8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K6" i="8"/>
  <c r="I67" i="4"/>
  <c r="I66" i="4"/>
  <c r="K5" i="8"/>
  <c r="K58" i="2"/>
  <c r="K4" i="8"/>
  <c r="G139" i="4"/>
  <c r="G138" i="4"/>
  <c r="G133" i="4"/>
  <c r="G132" i="4"/>
  <c r="G131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7" i="8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6" i="8"/>
  <c r="G67" i="4"/>
  <c r="G66" i="4"/>
  <c r="G5" i="8"/>
  <c r="G58" i="2"/>
  <c r="G4" i="8"/>
  <c r="F139" i="4"/>
  <c r="F138" i="4"/>
  <c r="E142" i="5" s="1"/>
  <c r="F133" i="4"/>
  <c r="F132" i="4"/>
  <c r="E136" i="5" s="1"/>
  <c r="E135" i="5" s="1"/>
  <c r="F131" i="4"/>
  <c r="F126" i="4"/>
  <c r="E130" i="5" s="1"/>
  <c r="E129" i="5" s="1"/>
  <c r="F125" i="4"/>
  <c r="F124" i="4"/>
  <c r="E128" i="5" s="1"/>
  <c r="F123" i="4"/>
  <c r="E127" i="5" s="1"/>
  <c r="F122" i="4"/>
  <c r="F121" i="4"/>
  <c r="E125" i="5" s="1"/>
  <c r="F120" i="4"/>
  <c r="E124" i="5" s="1"/>
  <c r="F119" i="4"/>
  <c r="E123" i="5" s="1"/>
  <c r="F118" i="4"/>
  <c r="E122" i="5" s="1"/>
  <c r="F117" i="4"/>
  <c r="E121" i="5" s="1"/>
  <c r="F116" i="4"/>
  <c r="E120" i="5" s="1"/>
  <c r="F115" i="4"/>
  <c r="E119" i="5" s="1"/>
  <c r="F114" i="4"/>
  <c r="E118" i="5" s="1"/>
  <c r="F113" i="4"/>
  <c r="E7" i="8"/>
  <c r="F111" i="4"/>
  <c r="E115" i="5" s="1"/>
  <c r="F110" i="4"/>
  <c r="E114" i="5" s="1"/>
  <c r="F109" i="4"/>
  <c r="E113" i="5" s="1"/>
  <c r="F108" i="4"/>
  <c r="E112" i="5" s="1"/>
  <c r="F107" i="4"/>
  <c r="E111" i="5" s="1"/>
  <c r="F106" i="4"/>
  <c r="E110" i="5" s="1"/>
  <c r="F105" i="4"/>
  <c r="E109" i="5" s="1"/>
  <c r="F104" i="4"/>
  <c r="E108" i="5" s="1"/>
  <c r="F103" i="4"/>
  <c r="F102" i="4"/>
  <c r="E106" i="5" s="1"/>
  <c r="F101" i="4"/>
  <c r="E105" i="5" s="1"/>
  <c r="F100" i="4"/>
  <c r="F99" i="4"/>
  <c r="E103" i="5" s="1"/>
  <c r="F98" i="4"/>
  <c r="E102" i="5" s="1"/>
  <c r="F97" i="4"/>
  <c r="E101" i="5" s="1"/>
  <c r="F96" i="4"/>
  <c r="E100" i="5" s="1"/>
  <c r="F95" i="4"/>
  <c r="E99" i="5" s="1"/>
  <c r="F94" i="4"/>
  <c r="E98" i="5" s="1"/>
  <c r="F93" i="4"/>
  <c r="E97" i="5" s="1"/>
  <c r="F92" i="4"/>
  <c r="F91" i="4"/>
  <c r="E95" i="5" s="1"/>
  <c r="E6" i="8"/>
  <c r="F67" i="4"/>
  <c r="E71" i="5" s="1"/>
  <c r="F66" i="4"/>
  <c r="E70" i="5" s="1"/>
  <c r="E5" i="8"/>
  <c r="E58" i="2"/>
  <c r="E4" i="8"/>
  <c r="E139" i="4"/>
  <c r="E138" i="4"/>
  <c r="D142" i="5" s="1"/>
  <c r="E133" i="4"/>
  <c r="E132" i="4"/>
  <c r="D136" i="5" s="1"/>
  <c r="D135" i="5" s="1"/>
  <c r="E131" i="4"/>
  <c r="E126" i="4"/>
  <c r="D130" i="5" s="1"/>
  <c r="D129" i="5" s="1"/>
  <c r="E125" i="4"/>
  <c r="E124" i="4"/>
  <c r="D128" i="5" s="1"/>
  <c r="E123" i="4"/>
  <c r="D127" i="5" s="1"/>
  <c r="E122" i="4"/>
  <c r="E121" i="4"/>
  <c r="D125" i="5" s="1"/>
  <c r="E120" i="4"/>
  <c r="D124" i="5" s="1"/>
  <c r="E119" i="4"/>
  <c r="D123" i="5" s="1"/>
  <c r="E118" i="4"/>
  <c r="D122" i="5" s="1"/>
  <c r="E117" i="4"/>
  <c r="D121" i="5" s="1"/>
  <c r="E116" i="4"/>
  <c r="D120" i="5" s="1"/>
  <c r="E115" i="4"/>
  <c r="D119" i="5" s="1"/>
  <c r="E114" i="4"/>
  <c r="D118" i="5" s="1"/>
  <c r="E113" i="4"/>
  <c r="D7" i="8"/>
  <c r="E111" i="4"/>
  <c r="D115" i="5" s="1"/>
  <c r="E110" i="4"/>
  <c r="D114" i="5" s="1"/>
  <c r="E109" i="4"/>
  <c r="D113" i="5" s="1"/>
  <c r="E108" i="4"/>
  <c r="D112" i="5" s="1"/>
  <c r="E107" i="4"/>
  <c r="D111" i="5" s="1"/>
  <c r="E106" i="4"/>
  <c r="D110" i="5" s="1"/>
  <c r="E105" i="4"/>
  <c r="D109" i="5" s="1"/>
  <c r="E104" i="4"/>
  <c r="D108" i="5" s="1"/>
  <c r="E103" i="4"/>
  <c r="E102" i="4"/>
  <c r="D106" i="5" s="1"/>
  <c r="E101" i="4"/>
  <c r="D105" i="5" s="1"/>
  <c r="E100" i="4"/>
  <c r="E99" i="4"/>
  <c r="D103" i="5" s="1"/>
  <c r="E98" i="4"/>
  <c r="D102" i="5" s="1"/>
  <c r="E97" i="4"/>
  <c r="D101" i="5" s="1"/>
  <c r="E96" i="4"/>
  <c r="D100" i="5" s="1"/>
  <c r="E95" i="4"/>
  <c r="D99" i="5" s="1"/>
  <c r="E94" i="4"/>
  <c r="D98" i="5" s="1"/>
  <c r="E93" i="4"/>
  <c r="D97" i="5" s="1"/>
  <c r="E92" i="4"/>
  <c r="E91" i="4"/>
  <c r="D95" i="5" s="1"/>
  <c r="D6" i="8"/>
  <c r="E67" i="4"/>
  <c r="D71" i="5" s="1"/>
  <c r="E66" i="4"/>
  <c r="D70" i="5" s="1"/>
  <c r="D5" i="8"/>
  <c r="D58" i="2"/>
  <c r="Q192" i="2"/>
  <c r="Q9" i="8" s="1"/>
  <c r="Q7" i="8"/>
  <c r="Q6" i="8"/>
  <c r="Q5" i="8"/>
  <c r="Q58" i="2"/>
  <c r="Q4" i="8"/>
  <c r="P10" i="8" l="1"/>
  <c r="N10" i="8"/>
  <c r="L10" i="8"/>
  <c r="H10" i="8"/>
  <c r="J58" i="2"/>
  <c r="D25" i="4"/>
  <c r="C144" i="5"/>
  <c r="C143" i="5" s="1"/>
  <c r="K143" i="5" s="1"/>
  <c r="J188" i="2"/>
  <c r="L6" i="8"/>
  <c r="N5" i="8"/>
  <c r="P6" i="8"/>
  <c r="F6" i="8"/>
  <c r="E126" i="5"/>
  <c r="H5" i="8"/>
  <c r="L7" i="8"/>
  <c r="P7" i="8"/>
  <c r="M194" i="2"/>
  <c r="G188" i="2"/>
  <c r="G140" i="4" s="1"/>
  <c r="K194" i="2"/>
  <c r="I143" i="4" s="1"/>
  <c r="M125" i="4"/>
  <c r="F112" i="4"/>
  <c r="J116" i="4"/>
  <c r="F120" i="5" s="1"/>
  <c r="L121" i="4"/>
  <c r="H125" i="5" s="1"/>
  <c r="J119" i="4"/>
  <c r="F123" i="5" s="1"/>
  <c r="M122" i="4"/>
  <c r="I126" i="5" s="1"/>
  <c r="E188" i="2"/>
  <c r="F140" i="4" s="1"/>
  <c r="E144" i="5" s="1"/>
  <c r="E143" i="5" s="1"/>
  <c r="J114" i="4"/>
  <c r="F118" i="5" s="1"/>
  <c r="J122" i="4"/>
  <c r="G194" i="2"/>
  <c r="G143" i="4" s="1"/>
  <c r="C126" i="5"/>
  <c r="J123" i="4"/>
  <c r="F127" i="5" s="1"/>
  <c r="J124" i="4"/>
  <c r="F128" i="5" s="1"/>
  <c r="L119" i="4"/>
  <c r="H123" i="5" s="1"/>
  <c r="E117" i="5"/>
  <c r="E194" i="2"/>
  <c r="F143" i="4" s="1"/>
  <c r="E147" i="5" s="1"/>
  <c r="E146" i="5" s="1"/>
  <c r="E145" i="5" s="1"/>
  <c r="G33" i="2"/>
  <c r="G52" i="2"/>
  <c r="J93" i="4"/>
  <c r="F97" i="5" s="1"/>
  <c r="J101" i="4"/>
  <c r="F105" i="5" s="1"/>
  <c r="J109" i="4"/>
  <c r="F113" i="5" s="1"/>
  <c r="J117" i="4"/>
  <c r="F121" i="5" s="1"/>
  <c r="J125" i="4"/>
  <c r="J138" i="4"/>
  <c r="F142" i="5" s="1"/>
  <c r="K27" i="2"/>
  <c r="K46" i="2"/>
  <c r="K163" i="2"/>
  <c r="I129" i="4" s="1"/>
  <c r="L131" i="4"/>
  <c r="H135" i="5" s="1"/>
  <c r="L139" i="4"/>
  <c r="H143" i="5" s="1"/>
  <c r="L116" i="4"/>
  <c r="H120" i="5" s="1"/>
  <c r="J118" i="4"/>
  <c r="F122" i="5" s="1"/>
  <c r="J139" i="4"/>
  <c r="I112" i="4"/>
  <c r="M52" i="2"/>
  <c r="R5" i="8"/>
  <c r="E168" i="2"/>
  <c r="F130" i="4" s="1"/>
  <c r="E134" i="5" s="1"/>
  <c r="J132" i="4"/>
  <c r="F136" i="5" s="1"/>
  <c r="F135" i="5" s="1"/>
  <c r="L122" i="4"/>
  <c r="H126" i="5" s="1"/>
  <c r="J7" i="8"/>
  <c r="C27" i="2"/>
  <c r="C46" i="2"/>
  <c r="C163" i="2"/>
  <c r="D129" i="4" s="1"/>
  <c r="L133" i="4"/>
  <c r="H137" i="5" s="1"/>
  <c r="J131" i="4"/>
  <c r="J95" i="4"/>
  <c r="F99" i="5" s="1"/>
  <c r="M33" i="2"/>
  <c r="L114" i="4"/>
  <c r="H118" i="5" s="1"/>
  <c r="E33" i="2"/>
  <c r="E52" i="2"/>
  <c r="F5" i="8"/>
  <c r="E104" i="5"/>
  <c r="G27" i="2"/>
  <c r="G46" i="2"/>
  <c r="G163" i="2"/>
  <c r="G129" i="4" s="1"/>
  <c r="J133" i="4"/>
  <c r="K40" i="2"/>
  <c r="I22" i="4" s="1"/>
  <c r="J115" i="4"/>
  <c r="F119" i="5" s="1"/>
  <c r="H112" i="4"/>
  <c r="M188" i="2"/>
  <c r="L113" i="4"/>
  <c r="H117" i="5" s="1"/>
  <c r="L124" i="4"/>
  <c r="H128" i="5" s="1"/>
  <c r="J108" i="4"/>
  <c r="F112" i="5" s="1"/>
  <c r="E40" i="2"/>
  <c r="F22" i="4" s="1"/>
  <c r="E26" i="5" s="1"/>
  <c r="J126" i="4"/>
  <c r="F130" i="5" s="1"/>
  <c r="F129" i="5" s="1"/>
  <c r="J121" i="4"/>
  <c r="F125" i="5" s="1"/>
  <c r="M163" i="2"/>
  <c r="M92" i="4"/>
  <c r="M100" i="4"/>
  <c r="D143" i="4"/>
  <c r="M168" i="2"/>
  <c r="L103" i="4"/>
  <c r="H107" i="5" s="1"/>
  <c r="J103" i="4"/>
  <c r="G161" i="2"/>
  <c r="G128" i="4"/>
  <c r="L120" i="4"/>
  <c r="H124" i="5" s="1"/>
  <c r="J104" i="4"/>
  <c r="F108" i="5" s="1"/>
  <c r="E192" i="2"/>
  <c r="E9" i="8" s="1"/>
  <c r="F142" i="4"/>
  <c r="F141" i="4" s="1"/>
  <c r="L92" i="4"/>
  <c r="J92" i="4"/>
  <c r="L100" i="4"/>
  <c r="H104" i="5" s="1"/>
  <c r="J100" i="4"/>
  <c r="G168" i="2"/>
  <c r="G130" i="4" s="1"/>
  <c r="K161" i="2"/>
  <c r="I128" i="4"/>
  <c r="K188" i="2"/>
  <c r="I140" i="4" s="1"/>
  <c r="J5" i="8"/>
  <c r="M40" i="2"/>
  <c r="C33" i="2"/>
  <c r="C52" i="2"/>
  <c r="C97" i="5"/>
  <c r="L93" i="4"/>
  <c r="L101" i="4"/>
  <c r="H105" i="5" s="1"/>
  <c r="C105" i="5"/>
  <c r="C104" i="5" s="1"/>
  <c r="C113" i="5"/>
  <c r="L109" i="4"/>
  <c r="H113" i="5" s="1"/>
  <c r="D112" i="4"/>
  <c r="L132" i="4"/>
  <c r="H136" i="5" s="1"/>
  <c r="C99" i="5"/>
  <c r="L95" i="4"/>
  <c r="L125" i="4"/>
  <c r="L102" i="4"/>
  <c r="H106" i="5" s="1"/>
  <c r="J102" i="4"/>
  <c r="F106" i="5" s="1"/>
  <c r="C115" i="5"/>
  <c r="L111" i="4"/>
  <c r="H115" i="5" s="1"/>
  <c r="E96" i="5"/>
  <c r="H7" i="8"/>
  <c r="C109" i="5"/>
  <c r="L105" i="4"/>
  <c r="H109" i="5" s="1"/>
  <c r="L118" i="4"/>
  <c r="H122" i="5" s="1"/>
  <c r="L138" i="4"/>
  <c r="H142" i="5" s="1"/>
  <c r="L110" i="4"/>
  <c r="H114" i="5" s="1"/>
  <c r="J110" i="4"/>
  <c r="F114" i="5" s="1"/>
  <c r="K192" i="2"/>
  <c r="K9" i="8" s="1"/>
  <c r="L9" i="8" s="1"/>
  <c r="I142" i="4"/>
  <c r="I141" i="4" s="1"/>
  <c r="C161" i="2"/>
  <c r="C200" i="2" s="1"/>
  <c r="J111" i="4"/>
  <c r="F115" i="5" s="1"/>
  <c r="L96" i="4"/>
  <c r="J96" i="4"/>
  <c r="F100" i="5" s="1"/>
  <c r="C101" i="5"/>
  <c r="L97" i="4"/>
  <c r="L126" i="4"/>
  <c r="H130" i="5" s="1"/>
  <c r="J97" i="4"/>
  <c r="F101" i="5" s="1"/>
  <c r="J105" i="4"/>
  <c r="F109" i="5" s="1"/>
  <c r="J113" i="4"/>
  <c r="G192" i="2"/>
  <c r="G9" i="8" s="1"/>
  <c r="H9" i="8" s="1"/>
  <c r="G142" i="4"/>
  <c r="K168" i="2"/>
  <c r="I130" i="4" s="1"/>
  <c r="I4" i="8"/>
  <c r="G7" i="1"/>
  <c r="J6" i="8"/>
  <c r="M27" i="2"/>
  <c r="M46" i="2"/>
  <c r="N7" i="8"/>
  <c r="C102" i="5"/>
  <c r="L98" i="4"/>
  <c r="C117" i="5"/>
  <c r="C108" i="5"/>
  <c r="L104" i="4"/>
  <c r="H108" i="5" s="1"/>
  <c r="J120" i="4"/>
  <c r="F124" i="5" s="1"/>
  <c r="M161" i="2"/>
  <c r="E161" i="2"/>
  <c r="F128" i="4"/>
  <c r="J66" i="4"/>
  <c r="F70" i="5" s="1"/>
  <c r="H6" i="8"/>
  <c r="J98" i="4"/>
  <c r="F102" i="5" s="1"/>
  <c r="L106" i="4"/>
  <c r="H110" i="5" s="1"/>
  <c r="J106" i="4"/>
  <c r="F110" i="5" s="1"/>
  <c r="K33" i="2"/>
  <c r="K52" i="2"/>
  <c r="L5" i="8"/>
  <c r="J99" i="4"/>
  <c r="F103" i="5" s="1"/>
  <c r="N9" i="8"/>
  <c r="P5" i="8"/>
  <c r="C40" i="2"/>
  <c r="D22" i="4" s="1"/>
  <c r="L91" i="4"/>
  <c r="C95" i="5"/>
  <c r="C103" i="5"/>
  <c r="L99" i="4"/>
  <c r="H103" i="5" s="1"/>
  <c r="C111" i="5"/>
  <c r="L107" i="4"/>
  <c r="H111" i="5" s="1"/>
  <c r="L117" i="4"/>
  <c r="H121" i="5" s="1"/>
  <c r="G112" i="4"/>
  <c r="C98" i="5"/>
  <c r="L94" i="4"/>
  <c r="J94" i="4"/>
  <c r="F98" i="5" s="1"/>
  <c r="E27" i="2"/>
  <c r="E46" i="2"/>
  <c r="E107" i="5"/>
  <c r="F7" i="8"/>
  <c r="E163" i="2"/>
  <c r="F129" i="4" s="1"/>
  <c r="E133" i="5" s="1"/>
  <c r="G40" i="2"/>
  <c r="G22" i="4" s="1"/>
  <c r="J67" i="4"/>
  <c r="F71" i="5" s="1"/>
  <c r="J91" i="4"/>
  <c r="F95" i="5" s="1"/>
  <c r="J107" i="4"/>
  <c r="F111" i="5" s="1"/>
  <c r="N6" i="8"/>
  <c r="C112" i="5"/>
  <c r="L108" i="4"/>
  <c r="H112" i="5" s="1"/>
  <c r="C168" i="2"/>
  <c r="D130" i="4" s="1"/>
  <c r="L123" i="4"/>
  <c r="H127" i="5" s="1"/>
  <c r="L115" i="4"/>
  <c r="H119" i="5" s="1"/>
  <c r="O4" i="8"/>
  <c r="D4" i="8"/>
  <c r="D104" i="5"/>
  <c r="G126" i="5"/>
  <c r="D126" i="5"/>
  <c r="G117" i="5"/>
  <c r="D117" i="5"/>
  <c r="D107" i="5"/>
  <c r="D96" i="5"/>
  <c r="M111" i="4"/>
  <c r="I115" i="5" s="1"/>
  <c r="G115" i="5"/>
  <c r="M110" i="4"/>
  <c r="I114" i="5" s="1"/>
  <c r="G114" i="5"/>
  <c r="M109" i="4"/>
  <c r="I113" i="5" s="1"/>
  <c r="G113" i="5"/>
  <c r="M108" i="4"/>
  <c r="I112" i="5" s="1"/>
  <c r="G112" i="5"/>
  <c r="M107" i="4"/>
  <c r="I111" i="5" s="1"/>
  <c r="G111" i="5"/>
  <c r="M106" i="4"/>
  <c r="I110" i="5" s="1"/>
  <c r="G110" i="5"/>
  <c r="M105" i="4"/>
  <c r="I109" i="5" s="1"/>
  <c r="G109" i="5"/>
  <c r="M104" i="4"/>
  <c r="I108" i="5" s="1"/>
  <c r="G108" i="5"/>
  <c r="M102" i="4"/>
  <c r="G106" i="5"/>
  <c r="M101" i="4"/>
  <c r="G105" i="5"/>
  <c r="M99" i="4"/>
  <c r="G103" i="5"/>
  <c r="M98" i="4"/>
  <c r="G102" i="5"/>
  <c r="M97" i="4"/>
  <c r="G101" i="5"/>
  <c r="M96" i="4"/>
  <c r="G100" i="5"/>
  <c r="M95" i="4"/>
  <c r="G99" i="5"/>
  <c r="M94" i="4"/>
  <c r="G98" i="5"/>
  <c r="M93" i="4"/>
  <c r="G97" i="5"/>
  <c r="M91" i="4"/>
  <c r="G95" i="5"/>
  <c r="K103" i="4"/>
  <c r="M103" i="4" s="1"/>
  <c r="I107" i="5" s="1"/>
  <c r="M138" i="4"/>
  <c r="I142" i="5" s="1"/>
  <c r="M139" i="4"/>
  <c r="I143" i="5" s="1"/>
  <c r="M133" i="4"/>
  <c r="I137" i="5" s="1"/>
  <c r="M132" i="4"/>
  <c r="I136" i="5" s="1"/>
  <c r="M131" i="4"/>
  <c r="I135" i="5" s="1"/>
  <c r="M126" i="4"/>
  <c r="I130" i="5" s="1"/>
  <c r="M124" i="4"/>
  <c r="I128" i="5" s="1"/>
  <c r="M123" i="4"/>
  <c r="I127" i="5" s="1"/>
  <c r="M121" i="4"/>
  <c r="I125" i="5" s="1"/>
  <c r="M120" i="4"/>
  <c r="I124" i="5" s="1"/>
  <c r="M119" i="4"/>
  <c r="I123" i="5" s="1"/>
  <c r="M118" i="4"/>
  <c r="I122" i="5" s="1"/>
  <c r="M117" i="4"/>
  <c r="I121" i="5" s="1"/>
  <c r="M116" i="4"/>
  <c r="I120" i="5" s="1"/>
  <c r="M115" i="4"/>
  <c r="I119" i="5" s="1"/>
  <c r="M114" i="4"/>
  <c r="I118" i="5" s="1"/>
  <c r="Q194" i="2"/>
  <c r="O194" i="2"/>
  <c r="K143" i="4" s="1"/>
  <c r="G147" i="5" s="1"/>
  <c r="D194" i="2"/>
  <c r="E143" i="4" s="1"/>
  <c r="D147" i="5" s="1"/>
  <c r="D146" i="5" s="1"/>
  <c r="D145" i="5" s="1"/>
  <c r="Q188" i="2"/>
  <c r="O188" i="2"/>
  <c r="K140" i="4" s="1"/>
  <c r="G144" i="5" s="1"/>
  <c r="G143" i="5" s="1"/>
  <c r="D188" i="2"/>
  <c r="E140" i="4" s="1"/>
  <c r="D144" i="5" s="1"/>
  <c r="D143" i="5" s="1"/>
  <c r="Q168" i="2"/>
  <c r="O168" i="2"/>
  <c r="K130" i="4" s="1"/>
  <c r="G134" i="5" s="1"/>
  <c r="D168" i="2"/>
  <c r="E130" i="4" s="1"/>
  <c r="D134" i="5" s="1"/>
  <c r="Q163" i="2"/>
  <c r="O163" i="2"/>
  <c r="K129" i="4" s="1"/>
  <c r="G133" i="5" s="1"/>
  <c r="D163" i="2"/>
  <c r="E129" i="4" s="1"/>
  <c r="D133" i="5" s="1"/>
  <c r="Q52" i="2"/>
  <c r="O52" i="2"/>
  <c r="D52" i="2"/>
  <c r="Q27" i="2"/>
  <c r="O33" i="2"/>
  <c r="O27" i="2"/>
  <c r="D27" i="2"/>
  <c r="Q33" i="2"/>
  <c r="D33" i="2"/>
  <c r="Q46" i="2"/>
  <c r="O46" i="2"/>
  <c r="D46" i="2"/>
  <c r="Q40" i="2"/>
  <c r="O40" i="2"/>
  <c r="K22" i="4" s="1"/>
  <c r="G26" i="5" s="1"/>
  <c r="D40" i="2"/>
  <c r="E22" i="4" s="1"/>
  <c r="D26" i="5" s="1"/>
  <c r="Q161" i="2"/>
  <c r="K128" i="4"/>
  <c r="O161" i="2"/>
  <c r="E128" i="4"/>
  <c r="D161" i="2"/>
  <c r="K142" i="4"/>
  <c r="O192" i="2"/>
  <c r="O9" i="8" s="1"/>
  <c r="P9" i="8" s="1"/>
  <c r="E142" i="4"/>
  <c r="E141" i="4" s="1"/>
  <c r="D192" i="2"/>
  <c r="D9" i="8" s="1"/>
  <c r="E112" i="4"/>
  <c r="K112" i="4"/>
  <c r="M113" i="4"/>
  <c r="I117" i="5" s="1"/>
  <c r="AL7" i="11"/>
  <c r="AL8" i="11"/>
  <c r="AL9" i="11"/>
  <c r="AL10" i="11"/>
  <c r="AL6" i="11"/>
  <c r="K200" i="2" l="1"/>
  <c r="L200" i="2" s="1"/>
  <c r="J4" i="8"/>
  <c r="I11" i="8"/>
  <c r="Q8" i="8"/>
  <c r="Q11" i="8" s="1"/>
  <c r="Q200" i="2"/>
  <c r="O8" i="8"/>
  <c r="P8" i="8" s="1"/>
  <c r="O200" i="2"/>
  <c r="G8" i="8"/>
  <c r="G11" i="8" s="1"/>
  <c r="G200" i="2"/>
  <c r="M8" i="8"/>
  <c r="M200" i="2"/>
  <c r="K8" i="8"/>
  <c r="E8" i="8"/>
  <c r="E11" i="8" s="1"/>
  <c r="E200" i="2"/>
  <c r="D8" i="8"/>
  <c r="D11" i="8" s="1"/>
  <c r="D200" i="2"/>
  <c r="G19" i="1"/>
  <c r="C201" i="2"/>
  <c r="J33" i="2"/>
  <c r="D20" i="4"/>
  <c r="J46" i="2"/>
  <c r="D23" i="4"/>
  <c r="J27" i="2"/>
  <c r="D19" i="4"/>
  <c r="J52" i="2"/>
  <c r="D24" i="4"/>
  <c r="C133" i="5"/>
  <c r="J163" i="2"/>
  <c r="C26" i="5"/>
  <c r="J40" i="2"/>
  <c r="C147" i="5"/>
  <c r="C146" i="5" s="1"/>
  <c r="C145" i="5" s="1"/>
  <c r="J194" i="2"/>
  <c r="C9" i="8"/>
  <c r="J192" i="2"/>
  <c r="M130" i="4"/>
  <c r="I134" i="5" s="1"/>
  <c r="J168" i="2"/>
  <c r="C8" i="8"/>
  <c r="J161" i="2"/>
  <c r="E116" i="5"/>
  <c r="C116" i="5"/>
  <c r="K116" i="5" s="1"/>
  <c r="J112" i="4"/>
  <c r="J143" i="4"/>
  <c r="F147" i="5" s="1"/>
  <c r="F146" i="5" s="1"/>
  <c r="F145" i="5" s="1"/>
  <c r="J140" i="4"/>
  <c r="F144" i="5" s="1"/>
  <c r="F143" i="5" s="1"/>
  <c r="J129" i="4"/>
  <c r="F133" i="5" s="1"/>
  <c r="L140" i="4"/>
  <c r="H144" i="5" s="1"/>
  <c r="E132" i="5"/>
  <c r="F117" i="5"/>
  <c r="F104" i="5"/>
  <c r="J128" i="4"/>
  <c r="L128" i="4"/>
  <c r="H132" i="5" s="1"/>
  <c r="L112" i="4"/>
  <c r="H116" i="5" s="1"/>
  <c r="F96" i="5"/>
  <c r="J22" i="4"/>
  <c r="F26" i="5" s="1"/>
  <c r="F126" i="5"/>
  <c r="C96" i="5"/>
  <c r="F107" i="5"/>
  <c r="D141" i="4"/>
  <c r="L142" i="4"/>
  <c r="H146" i="5" s="1"/>
  <c r="J130" i="4"/>
  <c r="F134" i="5" s="1"/>
  <c r="C134" i="5"/>
  <c r="L130" i="4"/>
  <c r="H134" i="5" s="1"/>
  <c r="C107" i="5"/>
  <c r="G141" i="4"/>
  <c r="J142" i="4"/>
  <c r="J141" i="4" s="1"/>
  <c r="D132" i="5"/>
  <c r="G132" i="5"/>
  <c r="G104" i="5"/>
  <c r="G107" i="5"/>
  <c r="G96" i="5"/>
  <c r="M142" i="4"/>
  <c r="I146" i="5" s="1"/>
  <c r="K141" i="4"/>
  <c r="G146" i="5"/>
  <c r="G145" i="5" s="1"/>
  <c r="M140" i="4"/>
  <c r="I144" i="5" s="1"/>
  <c r="M128" i="4"/>
  <c r="I132" i="5" s="1"/>
  <c r="AK7" i="11"/>
  <c r="AK8" i="11"/>
  <c r="AK9" i="11"/>
  <c r="AK10" i="11"/>
  <c r="AK6" i="11"/>
  <c r="L8" i="8" l="1"/>
  <c r="K11" i="8"/>
  <c r="N8" i="8"/>
  <c r="M11" i="8"/>
  <c r="K145" i="5"/>
  <c r="H8" i="8"/>
  <c r="F9" i="8"/>
  <c r="R10" i="8"/>
  <c r="F8" i="8"/>
  <c r="C11" i="8"/>
  <c r="O11" i="8"/>
  <c r="J8" i="8"/>
  <c r="C132" i="5"/>
  <c r="K132" i="5" s="1"/>
  <c r="L129" i="4"/>
  <c r="H133" i="5" s="1"/>
  <c r="M129" i="4"/>
  <c r="I133" i="5" s="1"/>
  <c r="L143" i="4"/>
  <c r="H147" i="5" s="1"/>
  <c r="M143" i="4"/>
  <c r="I147" i="5" s="1"/>
  <c r="F132" i="5"/>
  <c r="F116" i="5"/>
  <c r="L141" i="4"/>
  <c r="H145" i="5" s="1"/>
  <c r="C22" i="12"/>
  <c r="C18" i="12"/>
  <c r="C14" i="12"/>
  <c r="C10" i="12"/>
  <c r="C6" i="12"/>
  <c r="F24" i="12" l="1"/>
  <c r="F20" i="12" l="1"/>
  <c r="F16" i="12" l="1"/>
  <c r="AJ7" i="11"/>
  <c r="AJ8" i="11"/>
  <c r="AJ9" i="11"/>
  <c r="AJ10" i="11"/>
  <c r="AJ6" i="11"/>
  <c r="AI6" i="11"/>
  <c r="F12" i="11"/>
  <c r="AI7" i="11" l="1"/>
  <c r="AI8" i="11"/>
  <c r="AI9" i="11"/>
  <c r="AI10" i="11"/>
  <c r="AH7" i="11"/>
  <c r="AH8" i="11"/>
  <c r="AH9" i="11"/>
  <c r="AH10" i="11"/>
  <c r="AH6" i="11"/>
  <c r="D12" i="11" l="1"/>
  <c r="AI5" i="11"/>
  <c r="AH5" i="11" l="1"/>
  <c r="C12" i="11" l="1"/>
  <c r="B12" i="11" l="1"/>
  <c r="A1" i="8" l="1"/>
  <c r="A2" i="11" l="1"/>
  <c r="R6" i="8"/>
  <c r="R7" i="8"/>
  <c r="R4" i="8"/>
  <c r="H4" i="8"/>
  <c r="F4" i="8"/>
  <c r="N4" i="8"/>
  <c r="R8" i="8"/>
  <c r="P4" i="8"/>
  <c r="R9" i="8"/>
  <c r="L4" i="8"/>
  <c r="C15" i="9" l="1"/>
  <c r="D14" i="8"/>
  <c r="C14" i="8" s="1"/>
  <c r="B15" i="9"/>
  <c r="R11" i="8"/>
  <c r="P11" i="8"/>
  <c r="H11" i="8"/>
  <c r="L11" i="8"/>
  <c r="N11" i="8"/>
  <c r="J11" i="8"/>
  <c r="F11" i="8"/>
  <c r="D16" i="8"/>
  <c r="C16" i="8" s="1"/>
  <c r="D18" i="8"/>
  <c r="C18" i="8" s="1"/>
  <c r="D22" i="8"/>
  <c r="C22" i="8" s="1"/>
  <c r="D23" i="8"/>
  <c r="C23" i="8" s="1"/>
  <c r="D17" i="8"/>
  <c r="C17" i="8" s="1"/>
  <c r="D21" i="8"/>
  <c r="C21" i="8" s="1"/>
  <c r="D15" i="8"/>
  <c r="C15" i="8" s="1"/>
  <c r="D15" i="9" l="1"/>
  <c r="D19" i="8"/>
  <c r="C19" i="8"/>
  <c r="D5" i="6" l="1"/>
  <c r="C21" i="6" l="1"/>
  <c r="D21" i="6"/>
  <c r="B21" i="6"/>
  <c r="E21" i="6" l="1"/>
  <c r="D20" i="6"/>
  <c r="C20" i="6"/>
  <c r="B20" i="6"/>
  <c r="D19" i="6"/>
  <c r="C19" i="6"/>
  <c r="B19" i="6"/>
  <c r="D18" i="6"/>
  <c r="C18" i="6"/>
  <c r="B18" i="6"/>
  <c r="E19" i="6" l="1"/>
  <c r="E18" i="6"/>
  <c r="E20" i="6"/>
  <c r="D22" i="6" l="1"/>
  <c r="B22" i="6" l="1"/>
  <c r="C22" i="6"/>
  <c r="E22" i="6"/>
  <c r="D7" i="6" l="1"/>
  <c r="D6" i="6"/>
  <c r="D4" i="6"/>
  <c r="L196" i="2" l="1"/>
  <c r="N196" i="2"/>
  <c r="P196" i="2"/>
  <c r="R196" i="2"/>
  <c r="N188" i="2"/>
  <c r="R188" i="2"/>
  <c r="R189" i="2"/>
  <c r="R191" i="2"/>
  <c r="H192" i="2"/>
  <c r="R193" i="2"/>
  <c r="R194" i="2"/>
  <c r="R195" i="2"/>
  <c r="L50" i="2"/>
  <c r="N50" i="2"/>
  <c r="P50" i="2"/>
  <c r="R50" i="2"/>
  <c r="N51" i="2"/>
  <c r="R51" i="2"/>
  <c r="R52" i="2"/>
  <c r="R53" i="2"/>
  <c r="H54" i="2"/>
  <c r="R54" i="2"/>
  <c r="R55" i="2"/>
  <c r="R56" i="2"/>
  <c r="L58" i="2"/>
  <c r="N58" i="2"/>
  <c r="P58" i="2"/>
  <c r="R58" i="2"/>
  <c r="N59" i="2"/>
  <c r="R59" i="2"/>
  <c r="R60" i="2"/>
  <c r="R61" i="2"/>
  <c r="H62" i="2"/>
  <c r="R62" i="2"/>
  <c r="L66" i="2"/>
  <c r="N66" i="2"/>
  <c r="P66" i="2"/>
  <c r="R66" i="2"/>
  <c r="N67" i="2"/>
  <c r="R67" i="2"/>
  <c r="R68" i="2"/>
  <c r="R69" i="2"/>
  <c r="H70" i="2"/>
  <c r="R72" i="2"/>
  <c r="R73" i="2"/>
  <c r="L74" i="2"/>
  <c r="N74" i="2"/>
  <c r="P74" i="2"/>
  <c r="R74" i="2"/>
  <c r="N75" i="2"/>
  <c r="R75" i="2"/>
  <c r="R76" i="2"/>
  <c r="H78" i="2"/>
  <c r="R78" i="2"/>
  <c r="R79" i="2"/>
  <c r="R81" i="2"/>
  <c r="L82" i="2"/>
  <c r="N82" i="2"/>
  <c r="P82" i="2"/>
  <c r="R82" i="2"/>
  <c r="N83" i="2"/>
  <c r="R83" i="2"/>
  <c r="R84" i="2"/>
  <c r="R85" i="2"/>
  <c r="H86" i="2"/>
  <c r="R86" i="2"/>
  <c r="R87" i="2"/>
  <c r="R89" i="2"/>
  <c r="L90" i="2"/>
  <c r="N90" i="2"/>
  <c r="P90" i="2"/>
  <c r="R90" i="2"/>
  <c r="N91" i="2"/>
  <c r="R91" i="2"/>
  <c r="R92" i="2"/>
  <c r="R93" i="2"/>
  <c r="H94" i="2"/>
  <c r="R94" i="2"/>
  <c r="R95" i="2"/>
  <c r="R96" i="2"/>
  <c r="R98" i="2"/>
  <c r="L99" i="2"/>
  <c r="N99" i="2"/>
  <c r="P99" i="2"/>
  <c r="R99" i="2"/>
  <c r="N100" i="2"/>
  <c r="R100" i="2"/>
  <c r="R101" i="2"/>
  <c r="R102" i="2"/>
  <c r="H103" i="2"/>
  <c r="R103" i="2"/>
  <c r="L107" i="2"/>
  <c r="N107" i="2"/>
  <c r="P107" i="2"/>
  <c r="R107" i="2"/>
  <c r="N108" i="2"/>
  <c r="R108" i="2"/>
  <c r="H109" i="2"/>
  <c r="R110" i="2"/>
  <c r="H111" i="2"/>
  <c r="R113" i="2"/>
  <c r="R114" i="2"/>
  <c r="L115" i="2"/>
  <c r="N115" i="2"/>
  <c r="P115" i="2"/>
  <c r="R115" i="2"/>
  <c r="N116" i="2"/>
  <c r="R116" i="2"/>
  <c r="H117" i="2"/>
  <c r="R117" i="2"/>
  <c r="R118" i="2"/>
  <c r="H119" i="2"/>
  <c r="R119" i="2"/>
  <c r="R122" i="2"/>
  <c r="L123" i="2"/>
  <c r="N123" i="2"/>
  <c r="P123" i="2"/>
  <c r="R123" i="2"/>
  <c r="N124" i="2"/>
  <c r="R124" i="2"/>
  <c r="H125" i="2"/>
  <c r="R125" i="2"/>
  <c r="H127" i="2"/>
  <c r="R127" i="2"/>
  <c r="R128" i="2"/>
  <c r="R129" i="2"/>
  <c r="R130" i="2"/>
  <c r="L131" i="2"/>
  <c r="N131" i="2"/>
  <c r="P131" i="2"/>
  <c r="R131" i="2"/>
  <c r="N132" i="2"/>
  <c r="R132" i="2"/>
  <c r="H133" i="2"/>
  <c r="L133" i="2"/>
  <c r="R133" i="2"/>
  <c r="R134" i="2"/>
  <c r="H135" i="2"/>
  <c r="R136" i="2"/>
  <c r="R137" i="2"/>
  <c r="R138" i="2"/>
  <c r="L139" i="2"/>
  <c r="N139" i="2"/>
  <c r="P139" i="2"/>
  <c r="R139" i="2"/>
  <c r="N140" i="2"/>
  <c r="R140" i="2"/>
  <c r="H141" i="2"/>
  <c r="L141" i="2"/>
  <c r="R141" i="2"/>
  <c r="R142" i="2"/>
  <c r="H143" i="2"/>
  <c r="R145" i="2"/>
  <c r="L147" i="2"/>
  <c r="N147" i="2"/>
  <c r="P147" i="2"/>
  <c r="R147" i="2"/>
  <c r="N148" i="2"/>
  <c r="R148" i="2"/>
  <c r="H149" i="2"/>
  <c r="L149" i="2"/>
  <c r="R149" i="2"/>
  <c r="R150" i="2"/>
  <c r="H151" i="2"/>
  <c r="R151" i="2"/>
  <c r="R152" i="2"/>
  <c r="R154" i="2"/>
  <c r="L155" i="2"/>
  <c r="N155" i="2"/>
  <c r="P155" i="2"/>
  <c r="R155" i="2"/>
  <c r="N156" i="2"/>
  <c r="R156" i="2"/>
  <c r="H157" i="2"/>
  <c r="L157" i="2"/>
  <c r="R157" i="2"/>
  <c r="R158" i="2"/>
  <c r="H159" i="2"/>
  <c r="R160" i="2"/>
  <c r="R161" i="2"/>
  <c r="R162" i="2"/>
  <c r="L163" i="2"/>
  <c r="N163" i="2"/>
  <c r="P163" i="2"/>
  <c r="R163" i="2"/>
  <c r="N164" i="2"/>
  <c r="R164" i="2"/>
  <c r="H165" i="2"/>
  <c r="L165" i="2"/>
  <c r="R165" i="2"/>
  <c r="R166" i="2"/>
  <c r="H167" i="2"/>
  <c r="R169" i="2"/>
  <c r="R170" i="2"/>
  <c r="L171" i="2"/>
  <c r="N171" i="2"/>
  <c r="P171" i="2"/>
  <c r="R171" i="2"/>
  <c r="N172" i="2"/>
  <c r="R172" i="2"/>
  <c r="H173" i="2"/>
  <c r="L173" i="2"/>
  <c r="R173" i="2"/>
  <c r="R174" i="2"/>
  <c r="H175" i="2"/>
  <c r="R177" i="2"/>
  <c r="R178" i="2"/>
  <c r="L179" i="2"/>
  <c r="N179" i="2"/>
  <c r="P179" i="2"/>
  <c r="R179" i="2"/>
  <c r="N180" i="2"/>
  <c r="R180" i="2"/>
  <c r="H181" i="2"/>
  <c r="L181" i="2"/>
  <c r="R181" i="2"/>
  <c r="R182" i="2"/>
  <c r="H183" i="2"/>
  <c r="R183" i="2"/>
  <c r="R184" i="2"/>
  <c r="R185" i="2"/>
  <c r="R186" i="2"/>
  <c r="L187" i="2"/>
  <c r="N187" i="2"/>
  <c r="P187" i="2"/>
  <c r="R187" i="2"/>
  <c r="R106" i="2" l="1"/>
  <c r="R57" i="2"/>
  <c r="R112" i="2"/>
  <c r="R126" i="2"/>
  <c r="R146" i="2"/>
  <c r="H182" i="2"/>
  <c r="H174" i="2"/>
  <c r="H69" i="2"/>
  <c r="H61" i="2"/>
  <c r="H53" i="2"/>
  <c r="H191" i="2"/>
  <c r="F182" i="2"/>
  <c r="F174" i="2"/>
  <c r="F166" i="2"/>
  <c r="F158" i="2"/>
  <c r="F150" i="2"/>
  <c r="F142" i="2"/>
  <c r="F134" i="2"/>
  <c r="F126" i="2"/>
  <c r="F118" i="2"/>
  <c r="F110" i="2"/>
  <c r="F102" i="2"/>
  <c r="H101" i="2"/>
  <c r="F93" i="2"/>
  <c r="H92" i="2"/>
  <c r="F85" i="2"/>
  <c r="H84" i="2"/>
  <c r="F77" i="2"/>
  <c r="H76" i="2"/>
  <c r="F69" i="2"/>
  <c r="H68" i="2"/>
  <c r="F61" i="2"/>
  <c r="H60" i="2"/>
  <c r="F53" i="2"/>
  <c r="H52" i="2"/>
  <c r="F191" i="2"/>
  <c r="H189" i="2"/>
  <c r="F181" i="2"/>
  <c r="F173" i="2"/>
  <c r="F165" i="2"/>
  <c r="F157" i="2"/>
  <c r="F149" i="2"/>
  <c r="F141" i="2"/>
  <c r="H75" i="2"/>
  <c r="H67" i="2"/>
  <c r="H59" i="2"/>
  <c r="H51" i="2"/>
  <c r="H188" i="2"/>
  <c r="R77" i="2"/>
  <c r="N77" i="2"/>
  <c r="N69" i="2"/>
  <c r="N61" i="2"/>
  <c r="N53" i="2"/>
  <c r="R109" i="2"/>
  <c r="L61" i="2"/>
  <c r="L191" i="2"/>
  <c r="H166" i="2"/>
  <c r="H77" i="2"/>
  <c r="L188" i="2"/>
  <c r="H180" i="2"/>
  <c r="H164" i="2"/>
  <c r="H148" i="2"/>
  <c r="H140" i="2"/>
  <c r="H116" i="2"/>
  <c r="H91" i="2"/>
  <c r="H172" i="2"/>
  <c r="H156" i="2"/>
  <c r="H132" i="2"/>
  <c r="H124" i="2"/>
  <c r="H108" i="2"/>
  <c r="H100" i="2"/>
  <c r="H83" i="2"/>
  <c r="L69" i="2"/>
  <c r="L53" i="2"/>
  <c r="P188" i="2"/>
  <c r="R104" i="2"/>
  <c r="R80" i="2"/>
  <c r="R143" i="2"/>
  <c r="R120" i="2"/>
  <c r="R71" i="2"/>
  <c r="R135" i="2"/>
  <c r="R64" i="2"/>
  <c r="R88" i="2"/>
  <c r="P85" i="2"/>
  <c r="P77" i="2"/>
  <c r="P69" i="2"/>
  <c r="P61" i="2"/>
  <c r="P53" i="2"/>
  <c r="P191" i="2"/>
  <c r="F196" i="2"/>
  <c r="N191" i="2"/>
  <c r="R153" i="2"/>
  <c r="R176" i="2"/>
  <c r="R144" i="2"/>
  <c r="R63" i="2"/>
  <c r="R167" i="2"/>
  <c r="R111" i="2"/>
  <c r="R105" i="2"/>
  <c r="R159" i="2"/>
  <c r="N93" i="2"/>
  <c r="N85" i="2"/>
  <c r="R65" i="2"/>
  <c r="L174" i="2"/>
  <c r="L166" i="2"/>
  <c r="L93" i="2"/>
  <c r="L85" i="2"/>
  <c r="L77" i="2"/>
  <c r="N186" i="2"/>
  <c r="N154" i="2"/>
  <c r="N114" i="2"/>
  <c r="N106" i="2"/>
  <c r="P169" i="2"/>
  <c r="P161" i="2"/>
  <c r="N146" i="2"/>
  <c r="P137" i="2"/>
  <c r="P129" i="2"/>
  <c r="P121" i="2"/>
  <c r="P113" i="2"/>
  <c r="R121" i="2"/>
  <c r="P185" i="2"/>
  <c r="N178" i="2"/>
  <c r="P153" i="2"/>
  <c r="P145" i="2"/>
  <c r="N138" i="2"/>
  <c r="N130" i="2"/>
  <c r="N122" i="2"/>
  <c r="P105" i="2"/>
  <c r="P177" i="2"/>
  <c r="N170" i="2"/>
  <c r="N162" i="2"/>
  <c r="P96" i="2"/>
  <c r="N89" i="2"/>
  <c r="P88" i="2"/>
  <c r="N81" i="2"/>
  <c r="P72" i="2"/>
  <c r="P64" i="2"/>
  <c r="N57" i="2"/>
  <c r="N195" i="2"/>
  <c r="N113" i="2"/>
  <c r="N105" i="2"/>
  <c r="N64" i="2"/>
  <c r="H179" i="2"/>
  <c r="H171" i="2"/>
  <c r="H163" i="2"/>
  <c r="L161" i="2"/>
  <c r="H155" i="2"/>
  <c r="L153" i="2"/>
  <c r="H147" i="2"/>
  <c r="L145" i="2"/>
  <c r="H139" i="2"/>
  <c r="L137" i="2"/>
  <c r="H131" i="2"/>
  <c r="L129" i="2"/>
  <c r="H123" i="2"/>
  <c r="L121" i="2"/>
  <c r="H115" i="2"/>
  <c r="L113" i="2"/>
  <c r="H107" i="2"/>
  <c r="L105" i="2"/>
  <c r="H99" i="2"/>
  <c r="L96" i="2"/>
  <c r="H90" i="2"/>
  <c r="L88" i="2"/>
  <c r="H82" i="2"/>
  <c r="L80" i="2"/>
  <c r="H74" i="2"/>
  <c r="L72" i="2"/>
  <c r="H66" i="2"/>
  <c r="L64" i="2"/>
  <c r="H58" i="2"/>
  <c r="H50" i="2"/>
  <c r="L194" i="2"/>
  <c r="N98" i="2"/>
  <c r="P80" i="2"/>
  <c r="N73" i="2"/>
  <c r="N65" i="2"/>
  <c r="P56" i="2"/>
  <c r="P194" i="2"/>
  <c r="N185" i="2"/>
  <c r="N177" i="2"/>
  <c r="R175" i="2"/>
  <c r="N153" i="2"/>
  <c r="N96" i="2"/>
  <c r="N88" i="2"/>
  <c r="N80" i="2"/>
  <c r="N72" i="2"/>
  <c r="H187" i="2"/>
  <c r="F187" i="2"/>
  <c r="P182" i="2"/>
  <c r="F179" i="2"/>
  <c r="P174" i="2"/>
  <c r="F171" i="2"/>
  <c r="P166" i="2"/>
  <c r="F163" i="2"/>
  <c r="P158" i="2"/>
  <c r="F155" i="2"/>
  <c r="P150" i="2"/>
  <c r="F147" i="2"/>
  <c r="P142" i="2"/>
  <c r="F139" i="2"/>
  <c r="N135" i="2"/>
  <c r="P134" i="2"/>
  <c r="F131" i="2"/>
  <c r="N127" i="2"/>
  <c r="P126" i="2"/>
  <c r="F123" i="2"/>
  <c r="H122" i="2"/>
  <c r="N119" i="2"/>
  <c r="P118" i="2"/>
  <c r="F115" i="2"/>
  <c r="H114" i="2"/>
  <c r="N111" i="2"/>
  <c r="P110" i="2"/>
  <c r="F107" i="2"/>
  <c r="H106" i="2"/>
  <c r="N103" i="2"/>
  <c r="P102" i="2"/>
  <c r="F99" i="2"/>
  <c r="H98" i="2"/>
  <c r="N94" i="2"/>
  <c r="P93" i="2"/>
  <c r="F90" i="2"/>
  <c r="H89" i="2"/>
  <c r="N86" i="2"/>
  <c r="F82" i="2"/>
  <c r="H81" i="2"/>
  <c r="N78" i="2"/>
  <c r="F74" i="2"/>
  <c r="H73" i="2"/>
  <c r="N70" i="2"/>
  <c r="F66" i="2"/>
  <c r="H65" i="2"/>
  <c r="N62" i="2"/>
  <c r="F58" i="2"/>
  <c r="H57" i="2"/>
  <c r="N54" i="2"/>
  <c r="F50" i="2"/>
  <c r="H195" i="2"/>
  <c r="N192" i="2"/>
  <c r="N169" i="2"/>
  <c r="N161" i="2"/>
  <c r="N145" i="2"/>
  <c r="N137" i="2"/>
  <c r="N129" i="2"/>
  <c r="N121" i="2"/>
  <c r="R70" i="2"/>
  <c r="N56" i="2"/>
  <c r="N194" i="2"/>
  <c r="R192" i="2"/>
  <c r="H185" i="2"/>
  <c r="N182" i="2"/>
  <c r="H177" i="2"/>
  <c r="N174" i="2"/>
  <c r="H169" i="2"/>
  <c r="N166" i="2"/>
  <c r="H161" i="2"/>
  <c r="N158" i="2"/>
  <c r="H153" i="2"/>
  <c r="N150" i="2"/>
  <c r="H145" i="2"/>
  <c r="N142" i="2"/>
  <c r="H137" i="2"/>
  <c r="N134" i="2"/>
  <c r="H129" i="2"/>
  <c r="N126" i="2"/>
  <c r="H121" i="2"/>
  <c r="N118" i="2"/>
  <c r="H113" i="2"/>
  <c r="N110" i="2"/>
  <c r="H105" i="2"/>
  <c r="N102" i="2"/>
  <c r="H96" i="2"/>
  <c r="H88" i="2"/>
  <c r="H80" i="2"/>
  <c r="H72" i="2"/>
  <c r="H64" i="2"/>
  <c r="H56" i="2"/>
  <c r="H194" i="2"/>
  <c r="F161" i="2"/>
  <c r="F153" i="2"/>
  <c r="F145" i="2"/>
  <c r="F137" i="2"/>
  <c r="F129" i="2"/>
  <c r="F121" i="2"/>
  <c r="F113" i="2"/>
  <c r="F105" i="2"/>
  <c r="F96" i="2"/>
  <c r="F88" i="2"/>
  <c r="F64" i="2"/>
  <c r="F194" i="2"/>
  <c r="F184" i="2"/>
  <c r="F176" i="2"/>
  <c r="F168" i="2"/>
  <c r="F160" i="2"/>
  <c r="F152" i="2"/>
  <c r="F144" i="2"/>
  <c r="F136" i="2"/>
  <c r="F128" i="2"/>
  <c r="L125" i="2"/>
  <c r="F120" i="2"/>
  <c r="L117" i="2"/>
  <c r="F112" i="2"/>
  <c r="L109" i="2"/>
  <c r="F104" i="2"/>
  <c r="L101" i="2"/>
  <c r="F95" i="2"/>
  <c r="L92" i="2"/>
  <c r="F87" i="2"/>
  <c r="L84" i="2"/>
  <c r="F79" i="2"/>
  <c r="L76" i="2"/>
  <c r="F71" i="2"/>
  <c r="L68" i="2"/>
  <c r="F63" i="2"/>
  <c r="L60" i="2"/>
  <c r="F55" i="2"/>
  <c r="L52" i="2"/>
  <c r="F193" i="2"/>
  <c r="L189" i="2"/>
  <c r="P186" i="2"/>
  <c r="F183" i="2"/>
  <c r="L180" i="2"/>
  <c r="P178" i="2"/>
  <c r="F175" i="2"/>
  <c r="L172" i="2"/>
  <c r="P170" i="2"/>
  <c r="F167" i="2"/>
  <c r="L164" i="2"/>
  <c r="P162" i="2"/>
  <c r="F159" i="2"/>
  <c r="H158" i="2"/>
  <c r="L156" i="2"/>
  <c r="P154" i="2"/>
  <c r="F151" i="2"/>
  <c r="H150" i="2"/>
  <c r="L148" i="2"/>
  <c r="P146" i="2"/>
  <c r="F143" i="2"/>
  <c r="H142" i="2"/>
  <c r="L140" i="2"/>
  <c r="P138" i="2"/>
  <c r="F135" i="2"/>
  <c r="H134" i="2"/>
  <c r="L132" i="2"/>
  <c r="P130" i="2"/>
  <c r="F127" i="2"/>
  <c r="H126" i="2"/>
  <c r="L124" i="2"/>
  <c r="P122" i="2"/>
  <c r="F119" i="2"/>
  <c r="H118" i="2"/>
  <c r="L116" i="2"/>
  <c r="P114" i="2"/>
  <c r="F111" i="2"/>
  <c r="H110" i="2"/>
  <c r="L108" i="2"/>
  <c r="P106" i="2"/>
  <c r="F103" i="2"/>
  <c r="H102" i="2"/>
  <c r="L100" i="2"/>
  <c r="P98" i="2"/>
  <c r="F94" i="2"/>
  <c r="H93" i="2"/>
  <c r="L91" i="2"/>
  <c r="P89" i="2"/>
  <c r="F86" i="2"/>
  <c r="H85" i="2"/>
  <c r="L83" i="2"/>
  <c r="P81" i="2"/>
  <c r="F78" i="2"/>
  <c r="L75" i="2"/>
  <c r="P73" i="2"/>
  <c r="F70" i="2"/>
  <c r="L67" i="2"/>
  <c r="P65" i="2"/>
  <c r="F62" i="2"/>
  <c r="L59" i="2"/>
  <c r="P57" i="2"/>
  <c r="F54" i="2"/>
  <c r="L51" i="2"/>
  <c r="P195" i="2"/>
  <c r="F192" i="2"/>
  <c r="P184" i="2"/>
  <c r="P176" i="2"/>
  <c r="P168" i="2"/>
  <c r="L154" i="2"/>
  <c r="P152" i="2"/>
  <c r="L146" i="2"/>
  <c r="P144" i="2"/>
  <c r="L138" i="2"/>
  <c r="P136" i="2"/>
  <c r="F133" i="2"/>
  <c r="L130" i="2"/>
  <c r="P128" i="2"/>
  <c r="F125" i="2"/>
  <c r="L122" i="2"/>
  <c r="P120" i="2"/>
  <c r="F117" i="2"/>
  <c r="L114" i="2"/>
  <c r="P112" i="2"/>
  <c r="F109" i="2"/>
  <c r="L106" i="2"/>
  <c r="P104" i="2"/>
  <c r="F101" i="2"/>
  <c r="L98" i="2"/>
  <c r="P95" i="2"/>
  <c r="F92" i="2"/>
  <c r="L89" i="2"/>
  <c r="P87" i="2"/>
  <c r="F84" i="2"/>
  <c r="L81" i="2"/>
  <c r="P79" i="2"/>
  <c r="F76" i="2"/>
  <c r="L73" i="2"/>
  <c r="P71" i="2"/>
  <c r="F68" i="2"/>
  <c r="L65" i="2"/>
  <c r="P63" i="2"/>
  <c r="F60" i="2"/>
  <c r="L57" i="2"/>
  <c r="P55" i="2"/>
  <c r="F52" i="2"/>
  <c r="L195" i="2"/>
  <c r="P193" i="2"/>
  <c r="F189" i="2"/>
  <c r="L185" i="2"/>
  <c r="N184" i="2"/>
  <c r="P183" i="2"/>
  <c r="F180" i="2"/>
  <c r="L177" i="2"/>
  <c r="N176" i="2"/>
  <c r="P175" i="2"/>
  <c r="F172" i="2"/>
  <c r="L169" i="2"/>
  <c r="N168" i="2"/>
  <c r="P167" i="2"/>
  <c r="F164" i="2"/>
  <c r="N160" i="2"/>
  <c r="P159" i="2"/>
  <c r="F156" i="2"/>
  <c r="N152" i="2"/>
  <c r="P151" i="2"/>
  <c r="F148" i="2"/>
  <c r="N144" i="2"/>
  <c r="P143" i="2"/>
  <c r="F140" i="2"/>
  <c r="N136" i="2"/>
  <c r="P135" i="2"/>
  <c r="F132" i="2"/>
  <c r="N128" i="2"/>
  <c r="P127" i="2"/>
  <c r="F124" i="2"/>
  <c r="N120" i="2"/>
  <c r="P119" i="2"/>
  <c r="F116" i="2"/>
  <c r="N112" i="2"/>
  <c r="P111" i="2"/>
  <c r="F108" i="2"/>
  <c r="N104" i="2"/>
  <c r="P103" i="2"/>
  <c r="F100" i="2"/>
  <c r="N95" i="2"/>
  <c r="P94" i="2"/>
  <c r="F91" i="2"/>
  <c r="N87" i="2"/>
  <c r="P86" i="2"/>
  <c r="F83" i="2"/>
  <c r="N79" i="2"/>
  <c r="P78" i="2"/>
  <c r="F75" i="2"/>
  <c r="N71" i="2"/>
  <c r="P70" i="2"/>
  <c r="F67" i="2"/>
  <c r="N63" i="2"/>
  <c r="P62" i="2"/>
  <c r="F59" i="2"/>
  <c r="L56" i="2"/>
  <c r="N55" i="2"/>
  <c r="P54" i="2"/>
  <c r="F51" i="2"/>
  <c r="N193" i="2"/>
  <c r="P192" i="2"/>
  <c r="F188" i="2"/>
  <c r="H196" i="2"/>
  <c r="L186" i="2"/>
  <c r="L184" i="2"/>
  <c r="N175" i="2"/>
  <c r="H170" i="2"/>
  <c r="L168" i="2"/>
  <c r="H162" i="2"/>
  <c r="L160" i="2"/>
  <c r="N151" i="2"/>
  <c r="H146" i="2"/>
  <c r="L144" i="2"/>
  <c r="H138" i="2"/>
  <c r="L136" i="2"/>
  <c r="L128" i="2"/>
  <c r="L120" i="2"/>
  <c r="L112" i="2"/>
  <c r="L95" i="2"/>
  <c r="L79" i="2"/>
  <c r="L71" i="2"/>
  <c r="L63" i="2"/>
  <c r="L55" i="2"/>
  <c r="F186" i="2"/>
  <c r="L175" i="2"/>
  <c r="P173" i="2"/>
  <c r="F170" i="2"/>
  <c r="L167" i="2"/>
  <c r="P165" i="2"/>
  <c r="F162" i="2"/>
  <c r="F138" i="2"/>
  <c r="L127" i="2"/>
  <c r="P125" i="2"/>
  <c r="L119" i="2"/>
  <c r="P117" i="2"/>
  <c r="F114" i="2"/>
  <c r="P109" i="2"/>
  <c r="F106" i="2"/>
  <c r="P101" i="2"/>
  <c r="F98" i="2"/>
  <c r="L94" i="2"/>
  <c r="P92" i="2"/>
  <c r="F89" i="2"/>
  <c r="L86" i="2"/>
  <c r="P84" i="2"/>
  <c r="F81" i="2"/>
  <c r="L78" i="2"/>
  <c r="P76" i="2"/>
  <c r="F73" i="2"/>
  <c r="L70" i="2"/>
  <c r="P68" i="2"/>
  <c r="F65" i="2"/>
  <c r="L62" i="2"/>
  <c r="P60" i="2"/>
  <c r="F57" i="2"/>
  <c r="L54" i="2"/>
  <c r="P52" i="2"/>
  <c r="F195" i="2"/>
  <c r="L192" i="2"/>
  <c r="P189" i="2"/>
  <c r="R168" i="2"/>
  <c r="L178" i="2"/>
  <c r="L170" i="2"/>
  <c r="L162" i="2"/>
  <c r="P160" i="2"/>
  <c r="H186" i="2"/>
  <c r="N183" i="2"/>
  <c r="H178" i="2"/>
  <c r="L176" i="2"/>
  <c r="N167" i="2"/>
  <c r="N159" i="2"/>
  <c r="H154" i="2"/>
  <c r="L152" i="2"/>
  <c r="N143" i="2"/>
  <c r="H130" i="2"/>
  <c r="L104" i="2"/>
  <c r="L87" i="2"/>
  <c r="L193" i="2"/>
  <c r="L183" i="2"/>
  <c r="P181" i="2"/>
  <c r="F178" i="2"/>
  <c r="L159" i="2"/>
  <c r="P157" i="2"/>
  <c r="F154" i="2"/>
  <c r="L151" i="2"/>
  <c r="P149" i="2"/>
  <c r="F146" i="2"/>
  <c r="L143" i="2"/>
  <c r="P141" i="2"/>
  <c r="L135" i="2"/>
  <c r="P133" i="2"/>
  <c r="F130" i="2"/>
  <c r="F122" i="2"/>
  <c r="L111" i="2"/>
  <c r="L103" i="2"/>
  <c r="F185" i="2"/>
  <c r="H184" i="2"/>
  <c r="L182" i="2"/>
  <c r="N181" i="2"/>
  <c r="P180" i="2"/>
  <c r="F177" i="2"/>
  <c r="H176" i="2"/>
  <c r="N173" i="2"/>
  <c r="P172" i="2"/>
  <c r="F169" i="2"/>
  <c r="H168" i="2"/>
  <c r="N165" i="2"/>
  <c r="P164" i="2"/>
  <c r="H160" i="2"/>
  <c r="L158" i="2"/>
  <c r="N157" i="2"/>
  <c r="P156" i="2"/>
  <c r="H152" i="2"/>
  <c r="L150" i="2"/>
  <c r="N149" i="2"/>
  <c r="P148" i="2"/>
  <c r="H144" i="2"/>
  <c r="L142" i="2"/>
  <c r="N141" i="2"/>
  <c r="P140" i="2"/>
  <c r="H136" i="2"/>
  <c r="L134" i="2"/>
  <c r="N133" i="2"/>
  <c r="P132" i="2"/>
  <c r="H128" i="2"/>
  <c r="L126" i="2"/>
  <c r="N125" i="2"/>
  <c r="P124" i="2"/>
  <c r="H120" i="2"/>
  <c r="L118" i="2"/>
  <c r="N117" i="2"/>
  <c r="P116" i="2"/>
  <c r="H112" i="2"/>
  <c r="L110" i="2"/>
  <c r="N109" i="2"/>
  <c r="P108" i="2"/>
  <c r="H104" i="2"/>
  <c r="L102" i="2"/>
  <c r="N101" i="2"/>
  <c r="P100" i="2"/>
  <c r="H95" i="2"/>
  <c r="N92" i="2"/>
  <c r="P91" i="2"/>
  <c r="H87" i="2"/>
  <c r="N84" i="2"/>
  <c r="P83" i="2"/>
  <c r="F80" i="2"/>
  <c r="H79" i="2"/>
  <c r="N76" i="2"/>
  <c r="P75" i="2"/>
  <c r="F72" i="2"/>
  <c r="H71" i="2"/>
  <c r="N68" i="2"/>
  <c r="P67" i="2"/>
  <c r="H63" i="2"/>
  <c r="N60" i="2"/>
  <c r="P59" i="2"/>
  <c r="F56" i="2"/>
  <c r="H55" i="2"/>
  <c r="N52" i="2"/>
  <c r="P51" i="2"/>
  <c r="H193" i="2"/>
  <c r="N189" i="2"/>
  <c r="D201" i="2"/>
  <c r="J200" i="2" l="1"/>
  <c r="F45" i="2"/>
  <c r="F37" i="2"/>
  <c r="F29" i="2"/>
  <c r="F21" i="2"/>
  <c r="F13" i="2"/>
  <c r="F49" i="2"/>
  <c r="F33" i="2"/>
  <c r="F41" i="2"/>
  <c r="F17" i="2"/>
  <c r="F25" i="2"/>
  <c r="H40" i="2"/>
  <c r="L40" i="2"/>
  <c r="N40" i="2"/>
  <c r="P40" i="2"/>
  <c r="R40" i="2"/>
  <c r="H31" i="2"/>
  <c r="H23" i="2"/>
  <c r="H15" i="2"/>
  <c r="L47" i="2"/>
  <c r="L39" i="2"/>
  <c r="L31" i="2"/>
  <c r="L23" i="2"/>
  <c r="L15" i="2"/>
  <c r="N47" i="2"/>
  <c r="N39" i="2"/>
  <c r="N31" i="2"/>
  <c r="N23" i="2"/>
  <c r="N15" i="2"/>
  <c r="P47" i="2"/>
  <c r="P39" i="2"/>
  <c r="P31" i="2"/>
  <c r="P23" i="2"/>
  <c r="P15" i="2"/>
  <c r="R47" i="2"/>
  <c r="R39" i="2"/>
  <c r="R31" i="2"/>
  <c r="R23" i="2"/>
  <c r="R15" i="2"/>
  <c r="F48" i="2"/>
  <c r="F44" i="2"/>
  <c r="F40" i="2"/>
  <c r="F36" i="2"/>
  <c r="F32" i="2"/>
  <c r="F28" i="2"/>
  <c r="F24" i="2"/>
  <c r="F20" i="2"/>
  <c r="F16" i="2"/>
  <c r="F12" i="2"/>
  <c r="H46" i="2"/>
  <c r="H38" i="2"/>
  <c r="H30" i="2"/>
  <c r="H22" i="2"/>
  <c r="H14" i="2"/>
  <c r="L46" i="2"/>
  <c r="L38" i="2"/>
  <c r="L30" i="2"/>
  <c r="L22" i="2"/>
  <c r="L14" i="2"/>
  <c r="N46" i="2"/>
  <c r="N38" i="2"/>
  <c r="N30" i="2"/>
  <c r="N22" i="2"/>
  <c r="N14" i="2"/>
  <c r="P46" i="2"/>
  <c r="P38" i="2"/>
  <c r="P30" i="2"/>
  <c r="P22" i="2"/>
  <c r="P14" i="2"/>
  <c r="R46" i="2"/>
  <c r="R38" i="2"/>
  <c r="R30" i="2"/>
  <c r="R22" i="2"/>
  <c r="R14" i="2"/>
  <c r="H32" i="2"/>
  <c r="L16" i="2"/>
  <c r="N32" i="2"/>
  <c r="P48" i="2"/>
  <c r="P24" i="2"/>
  <c r="R16" i="2"/>
  <c r="H47" i="2"/>
  <c r="H45" i="2"/>
  <c r="H21" i="2"/>
  <c r="H13" i="2"/>
  <c r="L45" i="2"/>
  <c r="L37" i="2"/>
  <c r="L29" i="2"/>
  <c r="L21" i="2"/>
  <c r="L13" i="2"/>
  <c r="N45" i="2"/>
  <c r="N37" i="2"/>
  <c r="N29" i="2"/>
  <c r="N21" i="2"/>
  <c r="N13" i="2"/>
  <c r="P45" i="2"/>
  <c r="P37" i="2"/>
  <c r="P29" i="2"/>
  <c r="P21" i="2"/>
  <c r="P13" i="2"/>
  <c r="R45" i="2"/>
  <c r="R37" i="2"/>
  <c r="R29" i="2"/>
  <c r="R21" i="2"/>
  <c r="R13" i="2"/>
  <c r="F47" i="2"/>
  <c r="F43" i="2"/>
  <c r="F39" i="2"/>
  <c r="F35" i="2"/>
  <c r="F31" i="2"/>
  <c r="F27" i="2"/>
  <c r="F23" i="2"/>
  <c r="F19" i="2"/>
  <c r="F15" i="2"/>
  <c r="F11" i="2"/>
  <c r="H44" i="2"/>
  <c r="H36" i="2"/>
  <c r="H28" i="2"/>
  <c r="H20" i="2"/>
  <c r="H12" i="2"/>
  <c r="L44" i="2"/>
  <c r="L36" i="2"/>
  <c r="L28" i="2"/>
  <c r="L20" i="2"/>
  <c r="L12" i="2"/>
  <c r="N44" i="2"/>
  <c r="N36" i="2"/>
  <c r="N28" i="2"/>
  <c r="N20" i="2"/>
  <c r="N12" i="2"/>
  <c r="P44" i="2"/>
  <c r="P36" i="2"/>
  <c r="P28" i="2"/>
  <c r="P20" i="2"/>
  <c r="P12" i="2"/>
  <c r="R44" i="2"/>
  <c r="R36" i="2"/>
  <c r="R28" i="2"/>
  <c r="R20" i="2"/>
  <c r="R12" i="2"/>
  <c r="H16" i="2"/>
  <c r="L48" i="2"/>
  <c r="L24" i="2"/>
  <c r="N16" i="2"/>
  <c r="P32" i="2"/>
  <c r="R48" i="2"/>
  <c r="R24" i="2"/>
  <c r="H39" i="2"/>
  <c r="H37" i="2"/>
  <c r="H35" i="2"/>
  <c r="H19" i="2"/>
  <c r="L35" i="2"/>
  <c r="L19" i="2"/>
  <c r="N43" i="2"/>
  <c r="N27" i="2"/>
  <c r="N11" i="2"/>
  <c r="P35" i="2"/>
  <c r="P19" i="2"/>
  <c r="R43" i="2"/>
  <c r="R35" i="2"/>
  <c r="R19" i="2"/>
  <c r="F46" i="2"/>
  <c r="F42" i="2"/>
  <c r="F38" i="2"/>
  <c r="F34" i="2"/>
  <c r="F30" i="2"/>
  <c r="F26" i="2"/>
  <c r="F22" i="2"/>
  <c r="F18" i="2"/>
  <c r="F14" i="2"/>
  <c r="H10" i="2"/>
  <c r="H42" i="2"/>
  <c r="H34" i="2"/>
  <c r="H26" i="2"/>
  <c r="H18" i="2"/>
  <c r="L10" i="2"/>
  <c r="L42" i="2"/>
  <c r="L34" i="2"/>
  <c r="L26" i="2"/>
  <c r="L18" i="2"/>
  <c r="N10" i="2"/>
  <c r="N42" i="2"/>
  <c r="N34" i="2"/>
  <c r="N26" i="2"/>
  <c r="N18" i="2"/>
  <c r="P10" i="2"/>
  <c r="P42" i="2"/>
  <c r="P34" i="2"/>
  <c r="P26" i="2"/>
  <c r="P18" i="2"/>
  <c r="R10" i="2"/>
  <c r="R42" i="2"/>
  <c r="R34" i="2"/>
  <c r="R26" i="2"/>
  <c r="R18" i="2"/>
  <c r="H48" i="2"/>
  <c r="H24" i="2"/>
  <c r="L32" i="2"/>
  <c r="N48" i="2"/>
  <c r="N24" i="2"/>
  <c r="P16" i="2"/>
  <c r="R32" i="2"/>
  <c r="H29" i="2"/>
  <c r="H43" i="2"/>
  <c r="H27" i="2"/>
  <c r="H11" i="2"/>
  <c r="L43" i="2"/>
  <c r="L27" i="2"/>
  <c r="L11" i="2"/>
  <c r="N35" i="2"/>
  <c r="N19" i="2"/>
  <c r="P43" i="2"/>
  <c r="P27" i="2"/>
  <c r="P11" i="2"/>
  <c r="R27" i="2"/>
  <c r="R11" i="2"/>
  <c r="F10" i="2"/>
  <c r="H49" i="2"/>
  <c r="H41" i="2"/>
  <c r="H33" i="2"/>
  <c r="H25" i="2"/>
  <c r="H17" i="2"/>
  <c r="L49" i="2"/>
  <c r="L41" i="2"/>
  <c r="L33" i="2"/>
  <c r="L25" i="2"/>
  <c r="L17" i="2"/>
  <c r="N49" i="2"/>
  <c r="N41" i="2"/>
  <c r="N33" i="2"/>
  <c r="N25" i="2"/>
  <c r="N17" i="2"/>
  <c r="P49" i="2"/>
  <c r="P41" i="2"/>
  <c r="P33" i="2"/>
  <c r="P25" i="2"/>
  <c r="P17" i="2"/>
  <c r="R49" i="2"/>
  <c r="R41" i="2"/>
  <c r="R33" i="2"/>
  <c r="R25" i="2"/>
  <c r="R17" i="2"/>
  <c r="K201" i="2"/>
  <c r="Q201" i="2"/>
  <c r="G201" i="2"/>
  <c r="M201" i="2"/>
  <c r="O201" i="2"/>
  <c r="E201" i="2"/>
  <c r="E12" i="8"/>
  <c r="D12" i="8"/>
  <c r="B23" i="6"/>
  <c r="C23" i="6"/>
  <c r="N200" i="2" l="1"/>
  <c r="F200" i="2"/>
  <c r="H200" i="2"/>
  <c r="R200" i="2"/>
  <c r="N12" i="8"/>
  <c r="F12" i="8"/>
  <c r="H12" i="8"/>
  <c r="P12" i="8"/>
  <c r="P200" i="2"/>
  <c r="R12" i="8"/>
  <c r="J12" i="8"/>
  <c r="L12" i="8"/>
  <c r="E23" i="6"/>
  <c r="F22" i="6"/>
  <c r="F19" i="6"/>
  <c r="F21" i="6"/>
  <c r="F20" i="6"/>
  <c r="D23" i="6"/>
  <c r="F18" i="6"/>
  <c r="E4" i="4"/>
  <c r="F4" i="4"/>
  <c r="G4" i="4"/>
  <c r="H4" i="4"/>
  <c r="I4" i="4"/>
  <c r="E5" i="4"/>
  <c r="D9" i="5" s="1"/>
  <c r="F5" i="4"/>
  <c r="E9" i="5" s="1"/>
  <c r="H5" i="4"/>
  <c r="I5" i="4"/>
  <c r="C10" i="5"/>
  <c r="E6" i="4"/>
  <c r="D10" i="5" s="1"/>
  <c r="F6" i="4"/>
  <c r="E10" i="5" s="1"/>
  <c r="G6" i="4"/>
  <c r="H6" i="4"/>
  <c r="I6" i="4"/>
  <c r="C11" i="5"/>
  <c r="E7" i="4"/>
  <c r="D11" i="5" s="1"/>
  <c r="F7" i="4"/>
  <c r="E11" i="5" s="1"/>
  <c r="G7" i="4"/>
  <c r="H7" i="4"/>
  <c r="I7" i="4"/>
  <c r="F8" i="4"/>
  <c r="G8" i="4"/>
  <c r="H8" i="4"/>
  <c r="I8" i="4"/>
  <c r="C13" i="5"/>
  <c r="E9" i="4"/>
  <c r="D13" i="5" s="1"/>
  <c r="F9" i="4"/>
  <c r="E13" i="5" s="1"/>
  <c r="G9" i="4"/>
  <c r="H9" i="4"/>
  <c r="I9" i="4"/>
  <c r="C14" i="5"/>
  <c r="E10" i="4"/>
  <c r="D14" i="5" s="1"/>
  <c r="F10" i="4"/>
  <c r="E14" i="5" s="1"/>
  <c r="G10" i="4"/>
  <c r="H10" i="4"/>
  <c r="I10" i="4"/>
  <c r="C15" i="5"/>
  <c r="E11" i="4"/>
  <c r="D15" i="5" s="1"/>
  <c r="F11" i="4"/>
  <c r="E15" i="5" s="1"/>
  <c r="G11" i="4"/>
  <c r="H11" i="4"/>
  <c r="I11" i="4"/>
  <c r="E12" i="4"/>
  <c r="F12" i="4"/>
  <c r="G12" i="4"/>
  <c r="H12" i="4"/>
  <c r="I12" i="4"/>
  <c r="C17" i="5"/>
  <c r="E13" i="4"/>
  <c r="D17" i="5" s="1"/>
  <c r="F13" i="4"/>
  <c r="E17" i="5" s="1"/>
  <c r="G13" i="4"/>
  <c r="H13" i="4"/>
  <c r="I13" i="4"/>
  <c r="C18" i="5"/>
  <c r="E14" i="4"/>
  <c r="D18" i="5" s="1"/>
  <c r="F14" i="4"/>
  <c r="E18" i="5" s="1"/>
  <c r="G14" i="4"/>
  <c r="H14" i="4"/>
  <c r="I14" i="4"/>
  <c r="C19" i="5"/>
  <c r="E15" i="4"/>
  <c r="D19" i="5" s="1"/>
  <c r="F15" i="4"/>
  <c r="E19" i="5" s="1"/>
  <c r="G15" i="4"/>
  <c r="H15" i="4"/>
  <c r="I15" i="4"/>
  <c r="C20" i="5"/>
  <c r="E16" i="4"/>
  <c r="D20" i="5" s="1"/>
  <c r="F16" i="4"/>
  <c r="E20" i="5" s="1"/>
  <c r="G16" i="4"/>
  <c r="H16" i="4"/>
  <c r="I16" i="4"/>
  <c r="C21" i="5"/>
  <c r="E17" i="4"/>
  <c r="D21" i="5" s="1"/>
  <c r="F17" i="4"/>
  <c r="E21" i="5" s="1"/>
  <c r="G17" i="4"/>
  <c r="H17" i="4"/>
  <c r="I17" i="4"/>
  <c r="E18" i="4"/>
  <c r="F18" i="4"/>
  <c r="G18" i="4"/>
  <c r="H18" i="4"/>
  <c r="I18" i="4"/>
  <c r="C23" i="5"/>
  <c r="E19" i="4"/>
  <c r="D23" i="5" s="1"/>
  <c r="F19" i="4"/>
  <c r="E23" i="5" s="1"/>
  <c r="G19" i="4"/>
  <c r="H19" i="4"/>
  <c r="I19" i="4"/>
  <c r="C24" i="5"/>
  <c r="E20" i="4"/>
  <c r="D24" i="5" s="1"/>
  <c r="F20" i="4"/>
  <c r="E24" i="5" s="1"/>
  <c r="G20" i="4"/>
  <c r="H20" i="4"/>
  <c r="I20" i="4"/>
  <c r="E21" i="4"/>
  <c r="F21" i="4"/>
  <c r="G21" i="4"/>
  <c r="H21" i="4"/>
  <c r="I21" i="4"/>
  <c r="C27" i="5"/>
  <c r="E23" i="4"/>
  <c r="D27" i="5" s="1"/>
  <c r="F23" i="4"/>
  <c r="E27" i="5" s="1"/>
  <c r="G23" i="4"/>
  <c r="H23" i="4"/>
  <c r="I23" i="4"/>
  <c r="C28" i="5"/>
  <c r="E24" i="4"/>
  <c r="D28" i="5" s="1"/>
  <c r="F24" i="4"/>
  <c r="E28" i="5" s="1"/>
  <c r="G24" i="4"/>
  <c r="H24" i="4"/>
  <c r="I24" i="4"/>
  <c r="C29" i="5"/>
  <c r="E25" i="4"/>
  <c r="D29" i="5" s="1"/>
  <c r="F25" i="4"/>
  <c r="E29" i="5" s="1"/>
  <c r="G25" i="4"/>
  <c r="H25" i="4"/>
  <c r="I25" i="4"/>
  <c r="E26" i="4"/>
  <c r="F26" i="4"/>
  <c r="G26" i="4"/>
  <c r="H26" i="4"/>
  <c r="I26" i="4"/>
  <c r="C31" i="5"/>
  <c r="E27" i="4"/>
  <c r="D31" i="5" s="1"/>
  <c r="D30" i="5" s="1"/>
  <c r="F27" i="4"/>
  <c r="E31" i="5" s="1"/>
  <c r="E30" i="5" s="1"/>
  <c r="G27" i="4"/>
  <c r="H27" i="4"/>
  <c r="I27" i="4"/>
  <c r="E29" i="4"/>
  <c r="F29" i="4"/>
  <c r="G29" i="4"/>
  <c r="H29" i="4"/>
  <c r="I29" i="4"/>
  <c r="C34" i="5"/>
  <c r="E30" i="4"/>
  <c r="D34" i="5" s="1"/>
  <c r="F30" i="4"/>
  <c r="E34" i="5" s="1"/>
  <c r="G30" i="4"/>
  <c r="H30" i="4"/>
  <c r="I30" i="4"/>
  <c r="C35" i="5"/>
  <c r="E31" i="4"/>
  <c r="D35" i="5" s="1"/>
  <c r="F31" i="4"/>
  <c r="E35" i="5" s="1"/>
  <c r="G31" i="4"/>
  <c r="H31" i="4"/>
  <c r="I31" i="4"/>
  <c r="C36" i="5"/>
  <c r="E32" i="4"/>
  <c r="D36" i="5" s="1"/>
  <c r="F32" i="4"/>
  <c r="E36" i="5" s="1"/>
  <c r="G32" i="4"/>
  <c r="H32" i="4"/>
  <c r="I32" i="4"/>
  <c r="C37" i="5"/>
  <c r="E33" i="4"/>
  <c r="D37" i="5" s="1"/>
  <c r="F33" i="4"/>
  <c r="E37" i="5" s="1"/>
  <c r="G33" i="4"/>
  <c r="H33" i="4"/>
  <c r="I33" i="4"/>
  <c r="C38" i="5"/>
  <c r="E34" i="4"/>
  <c r="D38" i="5" s="1"/>
  <c r="F34" i="4"/>
  <c r="E38" i="5" s="1"/>
  <c r="G34" i="4"/>
  <c r="H34" i="4"/>
  <c r="I34" i="4"/>
  <c r="E35" i="4"/>
  <c r="F35" i="4"/>
  <c r="G35" i="4"/>
  <c r="H35" i="4"/>
  <c r="I35" i="4"/>
  <c r="C40" i="5"/>
  <c r="E36" i="4"/>
  <c r="D40" i="5" s="1"/>
  <c r="F36" i="4"/>
  <c r="E40" i="5" s="1"/>
  <c r="G36" i="4"/>
  <c r="H36" i="4"/>
  <c r="I36" i="4"/>
  <c r="C41" i="5"/>
  <c r="E37" i="4"/>
  <c r="D41" i="5" s="1"/>
  <c r="F37" i="4"/>
  <c r="E41" i="5" s="1"/>
  <c r="G37" i="4"/>
  <c r="H37" i="4"/>
  <c r="I37" i="4"/>
  <c r="C42" i="5"/>
  <c r="E38" i="4"/>
  <c r="D42" i="5" s="1"/>
  <c r="F38" i="4"/>
  <c r="E42" i="5" s="1"/>
  <c r="G38" i="4"/>
  <c r="H38" i="4"/>
  <c r="I38" i="4"/>
  <c r="E39" i="4"/>
  <c r="D43" i="5" s="1"/>
  <c r="F39" i="4"/>
  <c r="E43" i="5" s="1"/>
  <c r="G39" i="4"/>
  <c r="H39" i="4"/>
  <c r="I39" i="4"/>
  <c r="C44" i="5"/>
  <c r="E40" i="4"/>
  <c r="D44" i="5" s="1"/>
  <c r="F40" i="4"/>
  <c r="E44" i="5" s="1"/>
  <c r="G40" i="4"/>
  <c r="H40" i="4"/>
  <c r="I40" i="4"/>
  <c r="E41" i="4"/>
  <c r="F41" i="4"/>
  <c r="G41" i="4"/>
  <c r="H41" i="4"/>
  <c r="I41" i="4"/>
  <c r="C46" i="5"/>
  <c r="E42" i="4"/>
  <c r="D46" i="5" s="1"/>
  <c r="F42" i="4"/>
  <c r="E46" i="5" s="1"/>
  <c r="G42" i="4"/>
  <c r="H42" i="4"/>
  <c r="I42" i="4"/>
  <c r="E43" i="4"/>
  <c r="D47" i="5" s="1"/>
  <c r="F43" i="4"/>
  <c r="E47" i="5" s="1"/>
  <c r="G43" i="4"/>
  <c r="H43" i="4"/>
  <c r="I43" i="4"/>
  <c r="C48" i="5"/>
  <c r="E44" i="4"/>
  <c r="D48" i="5" s="1"/>
  <c r="F44" i="4"/>
  <c r="E48" i="5" s="1"/>
  <c r="G44" i="4"/>
  <c r="H44" i="4"/>
  <c r="I44" i="4"/>
  <c r="C49" i="5"/>
  <c r="E45" i="4"/>
  <c r="D49" i="5" s="1"/>
  <c r="F45" i="4"/>
  <c r="E49" i="5" s="1"/>
  <c r="G45" i="4"/>
  <c r="H45" i="4"/>
  <c r="I45" i="4"/>
  <c r="C50" i="5"/>
  <c r="E46" i="4"/>
  <c r="D50" i="5" s="1"/>
  <c r="F46" i="4"/>
  <c r="E50" i="5" s="1"/>
  <c r="G46" i="4"/>
  <c r="H46" i="4"/>
  <c r="I46" i="4"/>
  <c r="E47" i="4"/>
  <c r="D51" i="5" s="1"/>
  <c r="F47" i="4"/>
  <c r="E51" i="5" s="1"/>
  <c r="G47" i="4"/>
  <c r="H47" i="4"/>
  <c r="I47" i="4"/>
  <c r="E48" i="4"/>
  <c r="F48" i="4"/>
  <c r="G48" i="4"/>
  <c r="H48" i="4"/>
  <c r="I48" i="4"/>
  <c r="C53" i="5"/>
  <c r="E49" i="4"/>
  <c r="D53" i="5" s="1"/>
  <c r="F49" i="4"/>
  <c r="E53" i="5" s="1"/>
  <c r="G49" i="4"/>
  <c r="H49" i="4"/>
  <c r="I49" i="4"/>
  <c r="C54" i="5"/>
  <c r="E50" i="4"/>
  <c r="D54" i="5" s="1"/>
  <c r="F50" i="4"/>
  <c r="E54" i="5" s="1"/>
  <c r="G50" i="4"/>
  <c r="H50" i="4"/>
  <c r="I50" i="4"/>
  <c r="E51" i="4"/>
  <c r="D55" i="5" s="1"/>
  <c r="F51" i="4"/>
  <c r="E55" i="5" s="1"/>
  <c r="G51" i="4"/>
  <c r="H51" i="4"/>
  <c r="I51" i="4"/>
  <c r="C56" i="5"/>
  <c r="E52" i="4"/>
  <c r="D56" i="5" s="1"/>
  <c r="F52" i="4"/>
  <c r="E56" i="5" s="1"/>
  <c r="G52" i="4"/>
  <c r="H52" i="4"/>
  <c r="I52" i="4"/>
  <c r="C57" i="5"/>
  <c r="E53" i="4"/>
  <c r="D57" i="5" s="1"/>
  <c r="F53" i="4"/>
  <c r="E57" i="5" s="1"/>
  <c r="G53" i="4"/>
  <c r="H53" i="4"/>
  <c r="I53" i="4"/>
  <c r="C58" i="5"/>
  <c r="E54" i="4"/>
  <c r="D58" i="5" s="1"/>
  <c r="F54" i="4"/>
  <c r="E58" i="5" s="1"/>
  <c r="G54" i="4"/>
  <c r="H54" i="4"/>
  <c r="I54" i="4"/>
  <c r="E55" i="4"/>
  <c r="D59" i="5" s="1"/>
  <c r="F55" i="4"/>
  <c r="E59" i="5" s="1"/>
  <c r="G55" i="4"/>
  <c r="H55" i="4"/>
  <c r="I55" i="4"/>
  <c r="E56" i="4"/>
  <c r="F56" i="4"/>
  <c r="G56" i="4"/>
  <c r="H56" i="4"/>
  <c r="I56" i="4"/>
  <c r="C61" i="5"/>
  <c r="E57" i="4"/>
  <c r="D61" i="5" s="1"/>
  <c r="F57" i="4"/>
  <c r="E61" i="5" s="1"/>
  <c r="G57" i="4"/>
  <c r="H57" i="4"/>
  <c r="I57" i="4"/>
  <c r="C62" i="5"/>
  <c r="E58" i="4"/>
  <c r="D62" i="5" s="1"/>
  <c r="F58" i="4"/>
  <c r="E62" i="5" s="1"/>
  <c r="G58" i="4"/>
  <c r="H58" i="4"/>
  <c r="I58" i="4"/>
  <c r="C63" i="5"/>
  <c r="E59" i="4"/>
  <c r="D63" i="5" s="1"/>
  <c r="F59" i="4"/>
  <c r="E63" i="5" s="1"/>
  <c r="G59" i="4"/>
  <c r="H59" i="4"/>
  <c r="I59" i="4"/>
  <c r="C64" i="5"/>
  <c r="E60" i="4"/>
  <c r="D64" i="5" s="1"/>
  <c r="F60" i="4"/>
  <c r="E64" i="5" s="1"/>
  <c r="G60" i="4"/>
  <c r="H60" i="4"/>
  <c r="I60" i="4"/>
  <c r="E61" i="4"/>
  <c r="F61" i="4"/>
  <c r="G61" i="4"/>
  <c r="H61" i="4"/>
  <c r="I61" i="4"/>
  <c r="C66" i="5"/>
  <c r="E62" i="4"/>
  <c r="F62" i="4"/>
  <c r="E66" i="5" s="1"/>
  <c r="E65" i="5" s="1"/>
  <c r="G62" i="4"/>
  <c r="H62" i="4"/>
  <c r="I62" i="4"/>
  <c r="E64" i="4"/>
  <c r="F64" i="4"/>
  <c r="G64" i="4"/>
  <c r="H64" i="4"/>
  <c r="I64" i="4"/>
  <c r="C69" i="5"/>
  <c r="E65" i="4"/>
  <c r="D69" i="5" s="1"/>
  <c r="D68" i="5" s="1"/>
  <c r="F65" i="4"/>
  <c r="E69" i="5" s="1"/>
  <c r="E68" i="5" s="1"/>
  <c r="G65" i="4"/>
  <c r="H65" i="4"/>
  <c r="I65" i="4"/>
  <c r="E68" i="4"/>
  <c r="F68" i="4"/>
  <c r="G68" i="4"/>
  <c r="H68" i="4"/>
  <c r="I68" i="4"/>
  <c r="C73" i="5"/>
  <c r="E69" i="4"/>
  <c r="D73" i="5" s="1"/>
  <c r="F69" i="4"/>
  <c r="E73" i="5" s="1"/>
  <c r="G69" i="4"/>
  <c r="H69" i="4"/>
  <c r="I69" i="4"/>
  <c r="C74" i="5"/>
  <c r="E70" i="4"/>
  <c r="D74" i="5" s="1"/>
  <c r="F70" i="4"/>
  <c r="E74" i="5" s="1"/>
  <c r="G70" i="4"/>
  <c r="H70" i="4"/>
  <c r="I70" i="4"/>
  <c r="C75" i="5"/>
  <c r="E71" i="4"/>
  <c r="D75" i="5" s="1"/>
  <c r="F71" i="4"/>
  <c r="E75" i="5" s="1"/>
  <c r="G71" i="4"/>
  <c r="H71" i="4"/>
  <c r="I71" i="4"/>
  <c r="C76" i="5"/>
  <c r="E72" i="4"/>
  <c r="D76" i="5" s="1"/>
  <c r="F72" i="4"/>
  <c r="E76" i="5" s="1"/>
  <c r="G72" i="4"/>
  <c r="H72" i="4"/>
  <c r="I72" i="4"/>
  <c r="C77" i="5"/>
  <c r="E73" i="4"/>
  <c r="D77" i="5" s="1"/>
  <c r="F73" i="4"/>
  <c r="E77" i="5" s="1"/>
  <c r="G73" i="4"/>
  <c r="H73" i="4"/>
  <c r="I73" i="4"/>
  <c r="C78" i="5"/>
  <c r="E74" i="4"/>
  <c r="D78" i="5" s="1"/>
  <c r="F74" i="4"/>
  <c r="E78" i="5" s="1"/>
  <c r="G74" i="4"/>
  <c r="H74" i="4"/>
  <c r="I74" i="4"/>
  <c r="C79" i="5"/>
  <c r="E75" i="4"/>
  <c r="D79" i="5" s="1"/>
  <c r="F75" i="4"/>
  <c r="E79" i="5" s="1"/>
  <c r="G75" i="4"/>
  <c r="H75" i="4"/>
  <c r="I75" i="4"/>
  <c r="E76" i="4"/>
  <c r="F76" i="4"/>
  <c r="G76" i="4"/>
  <c r="H76" i="4"/>
  <c r="I76" i="4"/>
  <c r="C81" i="5"/>
  <c r="C80" i="5" s="1"/>
  <c r="E77" i="4"/>
  <c r="F77" i="4"/>
  <c r="E81" i="5" s="1"/>
  <c r="E80" i="5" s="1"/>
  <c r="G77" i="4"/>
  <c r="H77" i="4"/>
  <c r="I77" i="4"/>
  <c r="E78" i="4"/>
  <c r="F78" i="4"/>
  <c r="G78" i="4"/>
  <c r="H78" i="4"/>
  <c r="I78" i="4"/>
  <c r="C83" i="5"/>
  <c r="E79" i="4"/>
  <c r="D83" i="5" s="1"/>
  <c r="F79" i="4"/>
  <c r="E83" i="5" s="1"/>
  <c r="G79" i="4"/>
  <c r="H79" i="4"/>
  <c r="I79" i="4"/>
  <c r="C84" i="5"/>
  <c r="E80" i="4"/>
  <c r="D84" i="5" s="1"/>
  <c r="F80" i="4"/>
  <c r="E84" i="5" s="1"/>
  <c r="G80" i="4"/>
  <c r="H80" i="4"/>
  <c r="I80" i="4"/>
  <c r="C85" i="5"/>
  <c r="E81" i="4"/>
  <c r="D85" i="5" s="1"/>
  <c r="F81" i="4"/>
  <c r="E85" i="5" s="1"/>
  <c r="G81" i="4"/>
  <c r="H81" i="4"/>
  <c r="I81" i="4"/>
  <c r="E83" i="4"/>
  <c r="F83" i="4"/>
  <c r="G83" i="4"/>
  <c r="H83" i="4"/>
  <c r="I83" i="4"/>
  <c r="C88" i="5"/>
  <c r="E84" i="4"/>
  <c r="D88" i="5" s="1"/>
  <c r="F84" i="4"/>
  <c r="E88" i="5" s="1"/>
  <c r="G84" i="4"/>
  <c r="H84" i="4"/>
  <c r="I84" i="4"/>
  <c r="C89" i="5"/>
  <c r="E85" i="4"/>
  <c r="D89" i="5" s="1"/>
  <c r="F85" i="4"/>
  <c r="E89" i="5" s="1"/>
  <c r="G85" i="4"/>
  <c r="H85" i="4"/>
  <c r="I85" i="4"/>
  <c r="C90" i="5"/>
  <c r="E86" i="4"/>
  <c r="D90" i="5" s="1"/>
  <c r="F86" i="4"/>
  <c r="E90" i="5" s="1"/>
  <c r="G86" i="4"/>
  <c r="H86" i="4"/>
  <c r="I86" i="4"/>
  <c r="C91" i="5"/>
  <c r="E87" i="4"/>
  <c r="D91" i="5" s="1"/>
  <c r="F87" i="4"/>
  <c r="E91" i="5" s="1"/>
  <c r="G87" i="4"/>
  <c r="H87" i="4"/>
  <c r="I87" i="4"/>
  <c r="C92" i="5"/>
  <c r="E88" i="4"/>
  <c r="D92" i="5" s="1"/>
  <c r="F88" i="4"/>
  <c r="E92" i="5" s="1"/>
  <c r="G88" i="4"/>
  <c r="H88" i="4"/>
  <c r="I88" i="4"/>
  <c r="E89" i="4"/>
  <c r="F89" i="4"/>
  <c r="G89" i="4"/>
  <c r="H89" i="4"/>
  <c r="I89" i="4"/>
  <c r="C94" i="5"/>
  <c r="E90" i="4"/>
  <c r="D94" i="5" s="1"/>
  <c r="D93" i="5" s="1"/>
  <c r="F90" i="4"/>
  <c r="E94" i="5" s="1"/>
  <c r="E93" i="5" s="1"/>
  <c r="G90" i="4"/>
  <c r="H90" i="4"/>
  <c r="I90" i="4"/>
  <c r="C138" i="5"/>
  <c r="E134" i="4"/>
  <c r="D138" i="5" s="1"/>
  <c r="F134" i="4"/>
  <c r="E138" i="5" s="1"/>
  <c r="G134" i="4"/>
  <c r="H134" i="4"/>
  <c r="I134" i="4"/>
  <c r="C139" i="5"/>
  <c r="E135" i="4"/>
  <c r="D139" i="5" s="1"/>
  <c r="F135" i="4"/>
  <c r="E139" i="5" s="1"/>
  <c r="G135" i="4"/>
  <c r="H135" i="4"/>
  <c r="I135" i="4"/>
  <c r="E136" i="4"/>
  <c r="F136" i="4"/>
  <c r="G136" i="4"/>
  <c r="H136" i="4"/>
  <c r="H127" i="4" s="1"/>
  <c r="I136" i="4"/>
  <c r="I127" i="4" s="1"/>
  <c r="C141" i="5"/>
  <c r="C140" i="5" s="1"/>
  <c r="K140" i="5" s="1"/>
  <c r="E137" i="4"/>
  <c r="D141" i="5" s="1"/>
  <c r="D140" i="5" s="1"/>
  <c r="F137" i="4"/>
  <c r="E141" i="5" s="1"/>
  <c r="E140" i="5" s="1"/>
  <c r="G137" i="4"/>
  <c r="H137" i="4"/>
  <c r="I137" i="4"/>
  <c r="G8" i="1"/>
  <c r="G9" i="1"/>
  <c r="G10" i="1"/>
  <c r="G11" i="1"/>
  <c r="G22" i="1" s="1"/>
  <c r="G12" i="1"/>
  <c r="F8" i="1"/>
  <c r="H8" i="1"/>
  <c r="F9" i="1"/>
  <c r="H9" i="1"/>
  <c r="F10" i="1"/>
  <c r="H10" i="1"/>
  <c r="F11" i="1"/>
  <c r="H11" i="1"/>
  <c r="F12" i="1"/>
  <c r="H12" i="1"/>
  <c r="H7" i="1"/>
  <c r="F7" i="1"/>
  <c r="E8" i="1"/>
  <c r="E9" i="1"/>
  <c r="E10" i="1"/>
  <c r="E11" i="1"/>
  <c r="E22" i="1" s="1"/>
  <c r="E12" i="1"/>
  <c r="E7" i="1"/>
  <c r="D8" i="1"/>
  <c r="D9" i="1"/>
  <c r="D10" i="1"/>
  <c r="D11" i="1"/>
  <c r="D12" i="1"/>
  <c r="D7" i="1"/>
  <c r="C8" i="1"/>
  <c r="C9" i="1"/>
  <c r="B6" i="6" s="1"/>
  <c r="C10" i="1"/>
  <c r="B7" i="6" s="1"/>
  <c r="C11" i="1"/>
  <c r="C12" i="1"/>
  <c r="C7" i="1"/>
  <c r="L12" i="1"/>
  <c r="L23" i="1" s="1"/>
  <c r="K90" i="4"/>
  <c r="G94" i="5" s="1"/>
  <c r="G93" i="5" s="1"/>
  <c r="K88" i="4"/>
  <c r="G92" i="5" s="1"/>
  <c r="K77" i="4"/>
  <c r="G81" i="5" s="1"/>
  <c r="G80" i="5" s="1"/>
  <c r="L9" i="1"/>
  <c r="K64" i="4"/>
  <c r="F14" i="1" l="1"/>
  <c r="G14" i="1"/>
  <c r="H14" i="1"/>
  <c r="E19" i="1"/>
  <c r="E14" i="1"/>
  <c r="E15" i="1" s="1"/>
  <c r="D14" i="1"/>
  <c r="C14" i="1"/>
  <c r="J7" i="1"/>
  <c r="J12" i="1"/>
  <c r="K12" i="1" s="1"/>
  <c r="F22" i="1"/>
  <c r="J11" i="1"/>
  <c r="K11" i="1" s="1"/>
  <c r="J9" i="1"/>
  <c r="K9" i="1" s="1"/>
  <c r="J8" i="1"/>
  <c r="J10" i="1"/>
  <c r="K10" i="1" s="1"/>
  <c r="C65" i="5"/>
  <c r="K65" i="5" s="1"/>
  <c r="I7" i="1"/>
  <c r="M7" i="1"/>
  <c r="I8" i="1"/>
  <c r="I9" i="1"/>
  <c r="H19" i="1"/>
  <c r="H23" i="1"/>
  <c r="I12" i="1"/>
  <c r="H22" i="1"/>
  <c r="I11" i="1"/>
  <c r="H21" i="1"/>
  <c r="I10" i="1"/>
  <c r="J4" i="4"/>
  <c r="E12" i="5"/>
  <c r="E8" i="5"/>
  <c r="J90" i="4"/>
  <c r="F94" i="5" s="1"/>
  <c r="F93" i="5" s="1"/>
  <c r="J86" i="4"/>
  <c r="F90" i="5" s="1"/>
  <c r="I82" i="4"/>
  <c r="J81" i="4"/>
  <c r="F85" i="5" s="1"/>
  <c r="J77" i="4"/>
  <c r="F81" i="5" s="1"/>
  <c r="F80" i="5" s="1"/>
  <c r="J73" i="4"/>
  <c r="F77" i="5" s="1"/>
  <c r="J69" i="4"/>
  <c r="F73" i="5" s="1"/>
  <c r="J20" i="4"/>
  <c r="F24" i="5" s="1"/>
  <c r="C60" i="5"/>
  <c r="K60" i="5" s="1"/>
  <c r="C137" i="5"/>
  <c r="E45" i="5"/>
  <c r="E137" i="5"/>
  <c r="E131" i="5" s="1"/>
  <c r="E33" i="5"/>
  <c r="J134" i="4"/>
  <c r="F138" i="5" s="1"/>
  <c r="E82" i="5"/>
  <c r="C87" i="5"/>
  <c r="C82" i="5"/>
  <c r="E60" i="5"/>
  <c r="E52" i="5"/>
  <c r="E22" i="5"/>
  <c r="J16" i="4"/>
  <c r="F20" i="5" s="1"/>
  <c r="J12" i="4"/>
  <c r="J8" i="4"/>
  <c r="C33" i="5"/>
  <c r="K33" i="5" s="1"/>
  <c r="E16" i="5"/>
  <c r="C72" i="5"/>
  <c r="J65" i="4"/>
  <c r="F69" i="5" s="1"/>
  <c r="F68" i="5" s="1"/>
  <c r="J60" i="4"/>
  <c r="F64" i="5" s="1"/>
  <c r="J56" i="4"/>
  <c r="J52" i="4"/>
  <c r="F56" i="5" s="1"/>
  <c r="J48" i="4"/>
  <c r="J44" i="4"/>
  <c r="F48" i="5" s="1"/>
  <c r="J40" i="4"/>
  <c r="F44" i="5" s="1"/>
  <c r="J36" i="4"/>
  <c r="F40" i="5" s="1"/>
  <c r="J32" i="4"/>
  <c r="F36" i="5" s="1"/>
  <c r="J27" i="4"/>
  <c r="F31" i="5" s="1"/>
  <c r="F30" i="5" s="1"/>
  <c r="J23" i="4"/>
  <c r="F27" i="5" s="1"/>
  <c r="D82" i="4"/>
  <c r="L55" i="4"/>
  <c r="H59" i="5" s="1"/>
  <c r="C59" i="5"/>
  <c r="L51" i="4"/>
  <c r="H55" i="5" s="1"/>
  <c r="C55" i="5"/>
  <c r="L47" i="4"/>
  <c r="H51" i="5" s="1"/>
  <c r="C51" i="5"/>
  <c r="L43" i="4"/>
  <c r="H47" i="5" s="1"/>
  <c r="C47" i="5"/>
  <c r="L39" i="4"/>
  <c r="H43" i="5" s="1"/>
  <c r="C43" i="5"/>
  <c r="C39" i="5" s="1"/>
  <c r="K39" i="5" s="1"/>
  <c r="E39" i="5"/>
  <c r="L35" i="4"/>
  <c r="H39" i="5" s="1"/>
  <c r="E25" i="5"/>
  <c r="E72" i="5"/>
  <c r="E87" i="5"/>
  <c r="L64" i="4"/>
  <c r="H68" i="5" s="1"/>
  <c r="D137" i="5"/>
  <c r="D131" i="5" s="1"/>
  <c r="D82" i="5"/>
  <c r="D60" i="5"/>
  <c r="D87" i="5"/>
  <c r="D72" i="5"/>
  <c r="D52" i="5"/>
  <c r="D22" i="5"/>
  <c r="D45" i="5"/>
  <c r="D39" i="5"/>
  <c r="D33" i="5"/>
  <c r="D25" i="5"/>
  <c r="D16" i="5"/>
  <c r="D12" i="5"/>
  <c r="D8" i="5"/>
  <c r="D81" i="5"/>
  <c r="D80" i="5" s="1"/>
  <c r="D66" i="5"/>
  <c r="D65" i="5" s="1"/>
  <c r="D116" i="5"/>
  <c r="J53" i="4"/>
  <c r="F57" i="5" s="1"/>
  <c r="J41" i="4"/>
  <c r="J29" i="4"/>
  <c r="J17" i="4"/>
  <c r="F21" i="5" s="1"/>
  <c r="J83" i="4"/>
  <c r="J74" i="4"/>
  <c r="F78" i="5" s="1"/>
  <c r="J54" i="4"/>
  <c r="F58" i="5" s="1"/>
  <c r="J42" i="4"/>
  <c r="F46" i="5" s="1"/>
  <c r="J30" i="4"/>
  <c r="F34" i="5" s="1"/>
  <c r="J25" i="4"/>
  <c r="F29" i="5" s="1"/>
  <c r="J14" i="4"/>
  <c r="F18" i="5" s="1"/>
  <c r="J10" i="4"/>
  <c r="F14" i="5" s="1"/>
  <c r="J6" i="4"/>
  <c r="F10" i="5" s="1"/>
  <c r="J88" i="4"/>
  <c r="F92" i="5" s="1"/>
  <c r="J84" i="4"/>
  <c r="F88" i="5" s="1"/>
  <c r="J79" i="4"/>
  <c r="F83" i="5" s="1"/>
  <c r="J75" i="4"/>
  <c r="F79" i="5" s="1"/>
  <c r="J71" i="4"/>
  <c r="F75" i="5" s="1"/>
  <c r="J18" i="4"/>
  <c r="J135" i="4"/>
  <c r="F139" i="5" s="1"/>
  <c r="J61" i="4"/>
  <c r="J45" i="4"/>
  <c r="F49" i="5" s="1"/>
  <c r="J33" i="4"/>
  <c r="F37" i="5" s="1"/>
  <c r="J9" i="4"/>
  <c r="F13" i="5" s="1"/>
  <c r="J87" i="4"/>
  <c r="F91" i="5" s="1"/>
  <c r="J70" i="4"/>
  <c r="F74" i="5" s="1"/>
  <c r="J62" i="4"/>
  <c r="F66" i="5" s="1"/>
  <c r="F65" i="5" s="1"/>
  <c r="J46" i="4"/>
  <c r="F50" i="5" s="1"/>
  <c r="J34" i="4"/>
  <c r="F38" i="5" s="1"/>
  <c r="J64" i="4"/>
  <c r="J59" i="4"/>
  <c r="F63" i="5" s="1"/>
  <c r="J55" i="4"/>
  <c r="F59" i="5" s="1"/>
  <c r="J51" i="4"/>
  <c r="F55" i="5" s="1"/>
  <c r="J47" i="4"/>
  <c r="F51" i="5" s="1"/>
  <c r="J43" i="4"/>
  <c r="F47" i="5" s="1"/>
  <c r="J39" i="4"/>
  <c r="F43" i="5" s="1"/>
  <c r="J35" i="4"/>
  <c r="J31" i="4"/>
  <c r="F35" i="5" s="1"/>
  <c r="J26" i="4"/>
  <c r="J15" i="4"/>
  <c r="F19" i="5" s="1"/>
  <c r="J11" i="4"/>
  <c r="F15" i="5" s="1"/>
  <c r="J7" i="4"/>
  <c r="F11" i="5" s="1"/>
  <c r="J57" i="4"/>
  <c r="F61" i="5" s="1"/>
  <c r="J49" i="4"/>
  <c r="F53" i="5" s="1"/>
  <c r="J37" i="4"/>
  <c r="F41" i="5" s="1"/>
  <c r="J24" i="4"/>
  <c r="F28" i="5" s="1"/>
  <c r="J13" i="4"/>
  <c r="F17" i="5" s="1"/>
  <c r="J78" i="4"/>
  <c r="J21" i="4"/>
  <c r="J58" i="4"/>
  <c r="F62" i="5" s="1"/>
  <c r="J50" i="4"/>
  <c r="F54" i="5" s="1"/>
  <c r="J38" i="4"/>
  <c r="F42" i="5" s="1"/>
  <c r="J137" i="4"/>
  <c r="F141" i="5" s="1"/>
  <c r="F140" i="5" s="1"/>
  <c r="J89" i="4"/>
  <c r="J85" i="4"/>
  <c r="F89" i="5" s="1"/>
  <c r="J80" i="4"/>
  <c r="F84" i="5" s="1"/>
  <c r="J76" i="4"/>
  <c r="J72" i="4"/>
  <c r="F76" i="5" s="1"/>
  <c r="J68" i="4"/>
  <c r="J19" i="4"/>
  <c r="F23" i="5" s="1"/>
  <c r="G127" i="4"/>
  <c r="J136" i="4"/>
  <c r="J127" i="4" s="1"/>
  <c r="C30" i="5"/>
  <c r="L7" i="4"/>
  <c r="H11" i="5" s="1"/>
  <c r="L31" i="4"/>
  <c r="H35" i="5" s="1"/>
  <c r="L11" i="4"/>
  <c r="H15" i="5" s="1"/>
  <c r="J5" i="4"/>
  <c r="F9" i="5" s="1"/>
  <c r="L72" i="4"/>
  <c r="H76" i="5" s="1"/>
  <c r="H28" i="4"/>
  <c r="L89" i="4"/>
  <c r="H93" i="5" s="1"/>
  <c r="H82" i="4"/>
  <c r="L80" i="4"/>
  <c r="H84" i="5" s="1"/>
  <c r="L76" i="4"/>
  <c r="H80" i="5" s="1"/>
  <c r="L68" i="4"/>
  <c r="H72" i="5" s="1"/>
  <c r="H97" i="5"/>
  <c r="G82" i="4"/>
  <c r="L8" i="4"/>
  <c r="H12" i="5" s="1"/>
  <c r="H3" i="4"/>
  <c r="L134" i="4"/>
  <c r="H138" i="5" s="1"/>
  <c r="L65" i="4"/>
  <c r="H69" i="5" s="1"/>
  <c r="L60" i="4"/>
  <c r="H64" i="5" s="1"/>
  <c r="L56" i="4"/>
  <c r="H60" i="5" s="1"/>
  <c r="L52" i="4"/>
  <c r="H56" i="5" s="1"/>
  <c r="L48" i="4"/>
  <c r="H52" i="5" s="1"/>
  <c r="L36" i="4"/>
  <c r="H40" i="5" s="1"/>
  <c r="L23" i="4"/>
  <c r="H27" i="5" s="1"/>
  <c r="L16" i="4"/>
  <c r="H20" i="5" s="1"/>
  <c r="I3" i="4"/>
  <c r="L18" i="4"/>
  <c r="H22" i="5" s="1"/>
  <c r="I28" i="4"/>
  <c r="G28" i="4"/>
  <c r="L90" i="4"/>
  <c r="H94" i="5" s="1"/>
  <c r="L81" i="4"/>
  <c r="H85" i="5" s="1"/>
  <c r="L77" i="4"/>
  <c r="H81" i="5" s="1"/>
  <c r="L73" i="4"/>
  <c r="H77" i="5" s="1"/>
  <c r="L87" i="4"/>
  <c r="H91" i="5" s="1"/>
  <c r="L78" i="4"/>
  <c r="H82" i="5" s="1"/>
  <c r="L70" i="4"/>
  <c r="H74" i="5" s="1"/>
  <c r="L21" i="4"/>
  <c r="H25" i="5" s="1"/>
  <c r="L135" i="4"/>
  <c r="H139" i="5" s="1"/>
  <c r="H98" i="5"/>
  <c r="L53" i="4"/>
  <c r="H57" i="5" s="1"/>
  <c r="L45" i="4"/>
  <c r="H49" i="5" s="1"/>
  <c r="L41" i="4"/>
  <c r="H45" i="5" s="1"/>
  <c r="L37" i="4"/>
  <c r="H41" i="5" s="1"/>
  <c r="L24" i="4"/>
  <c r="H28" i="5" s="1"/>
  <c r="H129" i="5"/>
  <c r="H99" i="5"/>
  <c r="L62" i="4"/>
  <c r="H66" i="5" s="1"/>
  <c r="L54" i="4"/>
  <c r="H58" i="5" s="1"/>
  <c r="L50" i="4"/>
  <c r="H54" i="5" s="1"/>
  <c r="L42" i="4"/>
  <c r="H46" i="5" s="1"/>
  <c r="L10" i="4"/>
  <c r="H14" i="5" s="1"/>
  <c r="L88" i="4"/>
  <c r="H92" i="5" s="1"/>
  <c r="L84" i="4"/>
  <c r="H88" i="5" s="1"/>
  <c r="L79" i="4"/>
  <c r="H83" i="5" s="1"/>
  <c r="L75" i="4"/>
  <c r="H79" i="5" s="1"/>
  <c r="L71" i="4"/>
  <c r="H75" i="5" s="1"/>
  <c r="L67" i="4"/>
  <c r="H71" i="5" s="1"/>
  <c r="G3" i="4"/>
  <c r="F3" i="4"/>
  <c r="F82" i="4"/>
  <c r="F28" i="4"/>
  <c r="F127" i="4"/>
  <c r="L26" i="4"/>
  <c r="H30" i="5" s="1"/>
  <c r="L86" i="4"/>
  <c r="H90" i="5" s="1"/>
  <c r="L19" i="4"/>
  <c r="H23" i="5" s="1"/>
  <c r="L15" i="4"/>
  <c r="H19" i="5" s="1"/>
  <c r="L40" i="4"/>
  <c r="H44" i="5" s="1"/>
  <c r="L27" i="4"/>
  <c r="H31" i="5" s="1"/>
  <c r="D3" i="4"/>
  <c r="L4" i="4"/>
  <c r="H8" i="5" s="1"/>
  <c r="L61" i="4"/>
  <c r="H65" i="5" s="1"/>
  <c r="L49" i="4"/>
  <c r="H53" i="5" s="1"/>
  <c r="L33" i="4"/>
  <c r="H37" i="5" s="1"/>
  <c r="L29" i="4"/>
  <c r="H33" i="5" s="1"/>
  <c r="D28" i="4"/>
  <c r="L20" i="4"/>
  <c r="H24" i="5" s="1"/>
  <c r="L136" i="4"/>
  <c r="D127" i="4"/>
  <c r="L74" i="4"/>
  <c r="H78" i="5" s="1"/>
  <c r="L17" i="4"/>
  <c r="H21" i="5" s="1"/>
  <c r="L13" i="4"/>
  <c r="H17" i="5" s="1"/>
  <c r="L9" i="4"/>
  <c r="H13" i="5" s="1"/>
  <c r="L5" i="4"/>
  <c r="H9" i="5" s="1"/>
  <c r="L32" i="4"/>
  <c r="H36" i="5" s="1"/>
  <c r="L69" i="4"/>
  <c r="H73" i="5" s="1"/>
  <c r="L12" i="4"/>
  <c r="H16" i="5" s="1"/>
  <c r="L58" i="4"/>
  <c r="H62" i="5" s="1"/>
  <c r="L34" i="4"/>
  <c r="H38" i="5" s="1"/>
  <c r="M90" i="4"/>
  <c r="I94" i="5" s="1"/>
  <c r="L137" i="4"/>
  <c r="H141" i="5" s="1"/>
  <c r="L25" i="4"/>
  <c r="H29" i="5" s="1"/>
  <c r="L14" i="4"/>
  <c r="H18" i="5" s="1"/>
  <c r="L6" i="4"/>
  <c r="H10" i="5" s="1"/>
  <c r="H101" i="5"/>
  <c r="L44" i="4"/>
  <c r="H48" i="5" s="1"/>
  <c r="H102" i="5"/>
  <c r="L83" i="4"/>
  <c r="H87" i="5" s="1"/>
  <c r="L57" i="4"/>
  <c r="H61" i="5" s="1"/>
  <c r="L46" i="4"/>
  <c r="H50" i="5" s="1"/>
  <c r="L38" i="4"/>
  <c r="H42" i="5" s="1"/>
  <c r="L30" i="4"/>
  <c r="H34" i="5" s="1"/>
  <c r="L85" i="4"/>
  <c r="H89" i="5" s="1"/>
  <c r="L59" i="4"/>
  <c r="H63" i="5" s="1"/>
  <c r="E82" i="4"/>
  <c r="D86" i="5" s="1"/>
  <c r="E28" i="4"/>
  <c r="E127" i="4"/>
  <c r="E3" i="4"/>
  <c r="M88" i="4"/>
  <c r="I92" i="5" s="1"/>
  <c r="M64" i="4"/>
  <c r="I68" i="5" s="1"/>
  <c r="M77" i="4"/>
  <c r="I81" i="5" s="1"/>
  <c r="B4" i="6"/>
  <c r="C19" i="1"/>
  <c r="B8" i="6"/>
  <c r="C22" i="1"/>
  <c r="F19" i="1"/>
  <c r="D22" i="1"/>
  <c r="D19" i="1"/>
  <c r="G21" i="1"/>
  <c r="F21" i="1"/>
  <c r="J21" i="1" s="1"/>
  <c r="F23" i="1"/>
  <c r="G23" i="1"/>
  <c r="K135" i="4"/>
  <c r="G139" i="5" s="1"/>
  <c r="K72" i="4"/>
  <c r="G76" i="5" s="1"/>
  <c r="K48" i="4"/>
  <c r="K20" i="4"/>
  <c r="G24" i="5" s="1"/>
  <c r="K46" i="4"/>
  <c r="G50" i="5" s="1"/>
  <c r="K85" i="4"/>
  <c r="G89" i="5" s="1"/>
  <c r="K134" i="4"/>
  <c r="G138" i="5" s="1"/>
  <c r="L11" i="1"/>
  <c r="L22" i="1" s="1"/>
  <c r="K61" i="4"/>
  <c r="K83" i="4"/>
  <c r="K54" i="4"/>
  <c r="G58" i="5" s="1"/>
  <c r="K56" i="4"/>
  <c r="K58" i="4"/>
  <c r="G62" i="5" s="1"/>
  <c r="K60" i="4"/>
  <c r="G64" i="5" s="1"/>
  <c r="K80" i="4"/>
  <c r="G84" i="5" s="1"/>
  <c r="H20" i="1"/>
  <c r="K38" i="4"/>
  <c r="G42" i="5" s="1"/>
  <c r="K6" i="4"/>
  <c r="G10" i="5" s="1"/>
  <c r="K12" i="4"/>
  <c r="K17" i="4"/>
  <c r="G21" i="5" s="1"/>
  <c r="K30" i="4"/>
  <c r="G34" i="5" s="1"/>
  <c r="K73" i="4"/>
  <c r="G77" i="5" s="1"/>
  <c r="D21" i="1"/>
  <c r="K9" i="4"/>
  <c r="G13" i="5" s="1"/>
  <c r="K43" i="4"/>
  <c r="G47" i="5" s="1"/>
  <c r="K71" i="4"/>
  <c r="G75" i="5" s="1"/>
  <c r="K75" i="4"/>
  <c r="G79" i="5" s="1"/>
  <c r="K86" i="4"/>
  <c r="G90" i="5" s="1"/>
  <c r="L7" i="1"/>
  <c r="E20" i="1"/>
  <c r="K39" i="4"/>
  <c r="G43" i="5" s="1"/>
  <c r="F20" i="1"/>
  <c r="K18" i="4"/>
  <c r="K23" i="4"/>
  <c r="G27" i="5" s="1"/>
  <c r="K37" i="4"/>
  <c r="G41" i="5" s="1"/>
  <c r="L10" i="1"/>
  <c r="C7" i="6" s="1"/>
  <c r="E7" i="6" s="1"/>
  <c r="F7" i="6" s="1"/>
  <c r="G20" i="1"/>
  <c r="K15" i="4"/>
  <c r="G19" i="5" s="1"/>
  <c r="K41" i="4"/>
  <c r="K45" i="4"/>
  <c r="G49" i="5" s="1"/>
  <c r="K52" i="4"/>
  <c r="G56" i="5" s="1"/>
  <c r="K69" i="4"/>
  <c r="G73" i="5" s="1"/>
  <c r="K87" i="4"/>
  <c r="G91" i="5" s="1"/>
  <c r="K19" i="4"/>
  <c r="G23" i="5" s="1"/>
  <c r="K53" i="4"/>
  <c r="G57" i="5" s="1"/>
  <c r="K5" i="4"/>
  <c r="K32" i="4"/>
  <c r="G36" i="5" s="1"/>
  <c r="K35" i="4"/>
  <c r="K84" i="4"/>
  <c r="G88" i="5" s="1"/>
  <c r="K29" i="4"/>
  <c r="K25" i="4"/>
  <c r="G29" i="5" s="1"/>
  <c r="K40" i="4"/>
  <c r="G44" i="5" s="1"/>
  <c r="K65" i="4"/>
  <c r="G69" i="5" s="1"/>
  <c r="G68" i="5" s="1"/>
  <c r="K14" i="4"/>
  <c r="G18" i="5" s="1"/>
  <c r="K24" i="4"/>
  <c r="G28" i="5" s="1"/>
  <c r="K78" i="4"/>
  <c r="M78" i="4" s="1"/>
  <c r="K62" i="4"/>
  <c r="G66" i="5" s="1"/>
  <c r="G65" i="5" s="1"/>
  <c r="K33" i="4"/>
  <c r="G37" i="5" s="1"/>
  <c r="K137" i="4"/>
  <c r="G141" i="5" s="1"/>
  <c r="G140" i="5" s="1"/>
  <c r="K27" i="4"/>
  <c r="G31" i="5" s="1"/>
  <c r="G30" i="5" s="1"/>
  <c r="K31" i="4"/>
  <c r="G35" i="5" s="1"/>
  <c r="K42" i="4"/>
  <c r="G46" i="5" s="1"/>
  <c r="K10" i="4"/>
  <c r="G14" i="5" s="1"/>
  <c r="K44" i="4"/>
  <c r="G48" i="5" s="1"/>
  <c r="K34" i="4"/>
  <c r="G38" i="5" s="1"/>
  <c r="K8" i="4"/>
  <c r="K13" i="4"/>
  <c r="G17" i="5" s="1"/>
  <c r="L8" i="1"/>
  <c r="C5" i="6" s="1"/>
  <c r="E5" i="6" s="1"/>
  <c r="K81" i="4"/>
  <c r="G85" i="5" s="1"/>
  <c r="B5" i="6"/>
  <c r="C20" i="1"/>
  <c r="K57" i="4"/>
  <c r="G61" i="5" s="1"/>
  <c r="K4" i="4"/>
  <c r="K11" i="4"/>
  <c r="G15" i="5" s="1"/>
  <c r="K16" i="4"/>
  <c r="G20" i="5" s="1"/>
  <c r="K55" i="4"/>
  <c r="G59" i="5" s="1"/>
  <c r="K70" i="4"/>
  <c r="G74" i="5" s="1"/>
  <c r="K47" i="4"/>
  <c r="G51" i="5" s="1"/>
  <c r="K74" i="4"/>
  <c r="G78" i="5" s="1"/>
  <c r="K68" i="4"/>
  <c r="K76" i="4"/>
  <c r="K89" i="4"/>
  <c r="K79" i="4"/>
  <c r="G83" i="5" s="1"/>
  <c r="K136" i="4"/>
  <c r="K26" i="4"/>
  <c r="M26" i="4" s="1"/>
  <c r="K7" i="4"/>
  <c r="G11" i="5" s="1"/>
  <c r="K21" i="4"/>
  <c r="M21" i="4" s="1"/>
  <c r="K49" i="4"/>
  <c r="G53" i="5" s="1"/>
  <c r="K59" i="4"/>
  <c r="G63" i="5" s="1"/>
  <c r="K36" i="4"/>
  <c r="G40" i="5" s="1"/>
  <c r="K51" i="4"/>
  <c r="G55" i="5" s="1"/>
  <c r="B9" i="6"/>
  <c r="C23" i="1"/>
  <c r="K50" i="4"/>
  <c r="G54" i="5" s="1"/>
  <c r="H100" i="5"/>
  <c r="H140" i="5"/>
  <c r="F23" i="6"/>
  <c r="H96" i="5"/>
  <c r="C21" i="1"/>
  <c r="E21" i="1"/>
  <c r="D20" i="1"/>
  <c r="D23" i="1"/>
  <c r="E23" i="1"/>
  <c r="M12" i="1"/>
  <c r="N12" i="1"/>
  <c r="N9" i="1"/>
  <c r="G15" i="1"/>
  <c r="C9" i="6"/>
  <c r="E9" i="6" s="1"/>
  <c r="M10" i="1"/>
  <c r="M9" i="1"/>
  <c r="M11" i="1"/>
  <c r="C6" i="6"/>
  <c r="E6" i="6" s="1"/>
  <c r="F6" i="6" s="1"/>
  <c r="F15" i="1"/>
  <c r="M8" i="1"/>
  <c r="D15" i="1"/>
  <c r="V21" i="1" l="1"/>
  <c r="X21" i="1"/>
  <c r="V23" i="1"/>
  <c r="X23" i="1"/>
  <c r="V22" i="1"/>
  <c r="X22" i="1"/>
  <c r="V20" i="1"/>
  <c r="X20" i="1"/>
  <c r="V19" i="1"/>
  <c r="X19" i="1"/>
  <c r="J20" i="1"/>
  <c r="K20" i="1" s="1"/>
  <c r="F25" i="1"/>
  <c r="E147" i="4"/>
  <c r="E148" i="4" s="1"/>
  <c r="G25" i="1"/>
  <c r="L14" i="1"/>
  <c r="N14" i="1" s="1"/>
  <c r="G147" i="4"/>
  <c r="G148" i="4" s="1"/>
  <c r="I147" i="4"/>
  <c r="I148" i="4" s="1"/>
  <c r="F147" i="4"/>
  <c r="F148" i="4" s="1"/>
  <c r="D147" i="4"/>
  <c r="H25" i="1"/>
  <c r="E25" i="1"/>
  <c r="K7" i="1"/>
  <c r="J14" i="1"/>
  <c r="K14" i="1" s="1"/>
  <c r="D25" i="1"/>
  <c r="C25" i="1"/>
  <c r="O19" i="1"/>
  <c r="J19" i="1"/>
  <c r="J23" i="1"/>
  <c r="K23" i="1" s="1"/>
  <c r="J22" i="1"/>
  <c r="K22" i="1" s="1"/>
  <c r="K8" i="1"/>
  <c r="K21" i="1"/>
  <c r="C131" i="5"/>
  <c r="K137" i="5"/>
  <c r="I21" i="1"/>
  <c r="H15" i="1"/>
  <c r="I14" i="1"/>
  <c r="I20" i="1"/>
  <c r="I22" i="1"/>
  <c r="I23" i="1"/>
  <c r="I19" i="1"/>
  <c r="L19" i="1"/>
  <c r="N7" i="1"/>
  <c r="L127" i="4"/>
  <c r="H131" i="5" s="1"/>
  <c r="J3" i="4"/>
  <c r="C52" i="5"/>
  <c r="K52" i="5" s="1"/>
  <c r="F22" i="5"/>
  <c r="C45" i="5"/>
  <c r="K45" i="5" s="1"/>
  <c r="F25" i="5"/>
  <c r="F52" i="5"/>
  <c r="F72" i="5"/>
  <c r="E7" i="5"/>
  <c r="F8" i="5"/>
  <c r="F39" i="5"/>
  <c r="F60" i="5"/>
  <c r="F33" i="5"/>
  <c r="F12" i="5"/>
  <c r="F82" i="5"/>
  <c r="F45" i="5"/>
  <c r="F137" i="5"/>
  <c r="F131" i="5" s="1"/>
  <c r="F16" i="5"/>
  <c r="F87" i="5"/>
  <c r="G137" i="5"/>
  <c r="G82" i="5"/>
  <c r="G22" i="5"/>
  <c r="G87" i="5"/>
  <c r="G39" i="5"/>
  <c r="G72" i="5"/>
  <c r="G60" i="5"/>
  <c r="G52" i="5"/>
  <c r="G45" i="5"/>
  <c r="G33" i="5"/>
  <c r="G25" i="5"/>
  <c r="G16" i="5"/>
  <c r="G12" i="5"/>
  <c r="D7" i="5"/>
  <c r="M34" i="4"/>
  <c r="I38" i="5" s="1"/>
  <c r="C93" i="5"/>
  <c r="C86" i="5" s="1"/>
  <c r="K86" i="5" s="1"/>
  <c r="F86" i="5"/>
  <c r="M137" i="4"/>
  <c r="I141" i="5" s="1"/>
  <c r="M135" i="4"/>
  <c r="I139" i="5" s="1"/>
  <c r="M134" i="4"/>
  <c r="I138" i="5" s="1"/>
  <c r="M79" i="4"/>
  <c r="I83" i="5" s="1"/>
  <c r="M74" i="4"/>
  <c r="I78" i="5" s="1"/>
  <c r="M70" i="4"/>
  <c r="I74" i="5" s="1"/>
  <c r="M62" i="4"/>
  <c r="I66" i="5" s="1"/>
  <c r="M57" i="4"/>
  <c r="I61" i="5" s="1"/>
  <c r="M50" i="4"/>
  <c r="I54" i="5" s="1"/>
  <c r="M53" i="4"/>
  <c r="I57" i="5" s="1"/>
  <c r="M49" i="4"/>
  <c r="I53" i="5" s="1"/>
  <c r="M44" i="4"/>
  <c r="I48" i="5" s="1"/>
  <c r="M42" i="4"/>
  <c r="I46" i="5" s="1"/>
  <c r="M37" i="4"/>
  <c r="I41" i="5" s="1"/>
  <c r="M36" i="4"/>
  <c r="I40" i="5" s="1"/>
  <c r="L82" i="4"/>
  <c r="H86" i="5" s="1"/>
  <c r="C8" i="5"/>
  <c r="C22" i="5"/>
  <c r="I95" i="5"/>
  <c r="J82" i="4"/>
  <c r="J28" i="4"/>
  <c r="C16" i="5"/>
  <c r="C12" i="5"/>
  <c r="M33" i="4"/>
  <c r="I37" i="5" s="1"/>
  <c r="M25" i="4"/>
  <c r="I29" i="5" s="1"/>
  <c r="M14" i="4"/>
  <c r="I18" i="5" s="1"/>
  <c r="M13" i="4"/>
  <c r="I17" i="5" s="1"/>
  <c r="M10" i="4"/>
  <c r="I14" i="5" s="1"/>
  <c r="M9" i="4"/>
  <c r="I13" i="5" s="1"/>
  <c r="M5" i="4"/>
  <c r="I9" i="5" s="1"/>
  <c r="G9" i="5"/>
  <c r="G8" i="5" s="1"/>
  <c r="H147" i="4"/>
  <c r="L3" i="4"/>
  <c r="E86" i="5"/>
  <c r="H95" i="5"/>
  <c r="M29" i="4"/>
  <c r="I33" i="5" s="1"/>
  <c r="K28" i="4"/>
  <c r="M136" i="4"/>
  <c r="K127" i="4"/>
  <c r="M83" i="4"/>
  <c r="I87" i="5" s="1"/>
  <c r="K82" i="4"/>
  <c r="M4" i="4"/>
  <c r="I8" i="5" s="1"/>
  <c r="K3" i="4"/>
  <c r="M19" i="4"/>
  <c r="I23" i="5" s="1"/>
  <c r="M58" i="4"/>
  <c r="I62" i="5" s="1"/>
  <c r="I101" i="5"/>
  <c r="I102" i="5"/>
  <c r="M72" i="4"/>
  <c r="I76" i="5" s="1"/>
  <c r="M31" i="4"/>
  <c r="I35" i="5" s="1"/>
  <c r="I99" i="5"/>
  <c r="M86" i="4"/>
  <c r="I90" i="5" s="1"/>
  <c r="I97" i="5"/>
  <c r="M54" i="4"/>
  <c r="I58" i="5" s="1"/>
  <c r="M51" i="4"/>
  <c r="I55" i="5" s="1"/>
  <c r="M47" i="4"/>
  <c r="I51" i="5" s="1"/>
  <c r="M81" i="4"/>
  <c r="I85" i="5" s="1"/>
  <c r="M27" i="4"/>
  <c r="I31" i="5" s="1"/>
  <c r="M65" i="4"/>
  <c r="I69" i="5" s="1"/>
  <c r="G116" i="5"/>
  <c r="M39" i="4"/>
  <c r="I43" i="5" s="1"/>
  <c r="M75" i="4"/>
  <c r="I79" i="5" s="1"/>
  <c r="M73" i="4"/>
  <c r="I77" i="5" s="1"/>
  <c r="M15" i="4"/>
  <c r="I19" i="5" s="1"/>
  <c r="M38" i="4"/>
  <c r="I42" i="5" s="1"/>
  <c r="M7" i="4"/>
  <c r="I11" i="5" s="1"/>
  <c r="M87" i="4"/>
  <c r="I91" i="5" s="1"/>
  <c r="M76" i="4"/>
  <c r="I80" i="5" s="1"/>
  <c r="M16" i="4"/>
  <c r="I20" i="5" s="1"/>
  <c r="M84" i="4"/>
  <c r="I88" i="5" s="1"/>
  <c r="M69" i="4"/>
  <c r="I73" i="5" s="1"/>
  <c r="I100" i="5"/>
  <c r="M43" i="4"/>
  <c r="I47" i="5" s="1"/>
  <c r="M17" i="4"/>
  <c r="I21" i="5" s="1"/>
  <c r="M80" i="4"/>
  <c r="I84" i="5" s="1"/>
  <c r="I96" i="5"/>
  <c r="M24" i="4"/>
  <c r="I28" i="5" s="1"/>
  <c r="M23" i="4"/>
  <c r="I27" i="5" s="1"/>
  <c r="M61" i="4"/>
  <c r="I65" i="5" s="1"/>
  <c r="M18" i="4"/>
  <c r="I22" i="5" s="1"/>
  <c r="M89" i="4"/>
  <c r="I93" i="5" s="1"/>
  <c r="M40" i="4"/>
  <c r="I44" i="5" s="1"/>
  <c r="M30" i="4"/>
  <c r="I34" i="5" s="1"/>
  <c r="M11" i="4"/>
  <c r="I15" i="5" s="1"/>
  <c r="M35" i="4"/>
  <c r="I39" i="5" s="1"/>
  <c r="M52" i="4"/>
  <c r="I56" i="5" s="1"/>
  <c r="M12" i="4"/>
  <c r="I16" i="5" s="1"/>
  <c r="I98" i="5"/>
  <c r="M20" i="4"/>
  <c r="I24" i="5" s="1"/>
  <c r="M41" i="4"/>
  <c r="I45" i="5" s="1"/>
  <c r="M48" i="4"/>
  <c r="I52" i="5" s="1"/>
  <c r="M56" i="4"/>
  <c r="I60" i="5" s="1"/>
  <c r="M55" i="4"/>
  <c r="I59" i="5" s="1"/>
  <c r="M71" i="4"/>
  <c r="I75" i="5" s="1"/>
  <c r="M46" i="4"/>
  <c r="I50" i="5" s="1"/>
  <c r="M68" i="4"/>
  <c r="I72" i="5" s="1"/>
  <c r="M59" i="4"/>
  <c r="I63" i="5" s="1"/>
  <c r="M8" i="4"/>
  <c r="I12" i="5" s="1"/>
  <c r="M32" i="4"/>
  <c r="I36" i="5" s="1"/>
  <c r="M45" i="4"/>
  <c r="I49" i="5" s="1"/>
  <c r="M6" i="4"/>
  <c r="I10" i="5" s="1"/>
  <c r="M60" i="4"/>
  <c r="I64" i="5" s="1"/>
  <c r="M67" i="4"/>
  <c r="I71" i="5" s="1"/>
  <c r="M85" i="4"/>
  <c r="I89" i="5" s="1"/>
  <c r="M112" i="4"/>
  <c r="I116" i="5" s="1"/>
  <c r="I140" i="5"/>
  <c r="M141" i="4"/>
  <c r="I145" i="5" s="1"/>
  <c r="M19" i="1"/>
  <c r="C8" i="6"/>
  <c r="E8" i="6" s="1"/>
  <c r="F8" i="6" s="1"/>
  <c r="C4" i="6"/>
  <c r="F9" i="6"/>
  <c r="F5" i="6"/>
  <c r="N8" i="1"/>
  <c r="L20" i="1"/>
  <c r="B10" i="6"/>
  <c r="N11" i="1"/>
  <c r="N23" i="1"/>
  <c r="L21" i="1"/>
  <c r="N21" i="1" s="1"/>
  <c r="M20" i="1"/>
  <c r="N10" i="1"/>
  <c r="I30" i="5"/>
  <c r="I82" i="5"/>
  <c r="C15" i="1"/>
  <c r="M21" i="1"/>
  <c r="I25" i="5"/>
  <c r="M23" i="1"/>
  <c r="M22" i="1"/>
  <c r="M14" i="1"/>
  <c r="B27" i="1" l="1"/>
  <c r="X25" i="1"/>
  <c r="V25" i="1"/>
  <c r="J147" i="4"/>
  <c r="K131" i="5"/>
  <c r="M3" i="4"/>
  <c r="K147" i="4"/>
  <c r="K148" i="4" s="1"/>
  <c r="L25" i="1"/>
  <c r="K19" i="1"/>
  <c r="J25" i="1"/>
  <c r="K25" i="1" s="1"/>
  <c r="I25" i="1"/>
  <c r="F7" i="5"/>
  <c r="J7" i="5" s="1"/>
  <c r="G7" i="5"/>
  <c r="F32" i="5"/>
  <c r="L66" i="4"/>
  <c r="H70" i="5" s="1"/>
  <c r="E32" i="5"/>
  <c r="E151" i="5" s="1"/>
  <c r="D32" i="5"/>
  <c r="D151" i="5" s="1"/>
  <c r="C68" i="5"/>
  <c r="C32" i="5" s="1"/>
  <c r="K32" i="5" s="1"/>
  <c r="G131" i="5"/>
  <c r="M127" i="4"/>
  <c r="I131" i="5" s="1"/>
  <c r="I106" i="5"/>
  <c r="I105" i="5"/>
  <c r="I104" i="5"/>
  <c r="I129" i="5"/>
  <c r="I103" i="5"/>
  <c r="M66" i="4"/>
  <c r="I70" i="5" s="1"/>
  <c r="D148" i="4"/>
  <c r="L28" i="4"/>
  <c r="H32" i="5" s="1"/>
  <c r="M82" i="4"/>
  <c r="I86" i="5" s="1"/>
  <c r="M28" i="4"/>
  <c r="I32" i="5" s="1"/>
  <c r="G86" i="5"/>
  <c r="C10" i="6"/>
  <c r="L15" i="1"/>
  <c r="N20" i="1"/>
  <c r="N19" i="1"/>
  <c r="N22" i="1"/>
  <c r="M25" i="1"/>
  <c r="F151" i="5" l="1"/>
  <c r="F152" i="5" s="1"/>
  <c r="N25" i="1"/>
  <c r="L27" i="1"/>
  <c r="E152" i="5"/>
  <c r="D152" i="5"/>
  <c r="G32" i="5"/>
  <c r="G151" i="5" s="1"/>
  <c r="C25" i="5"/>
  <c r="L22" i="4"/>
  <c r="H26" i="5" s="1"/>
  <c r="M22" i="4"/>
  <c r="I26" i="5" s="1"/>
  <c r="G152" i="5" l="1"/>
  <c r="C7" i="5"/>
  <c r="C151" i="5" s="1"/>
  <c r="C153" i="5" s="1"/>
  <c r="M147" i="4"/>
  <c r="I151" i="5" s="1"/>
  <c r="L147" i="4"/>
  <c r="H151" i="5" s="1"/>
  <c r="I7" i="5"/>
  <c r="H7" i="5"/>
  <c r="D10" i="6"/>
  <c r="E4" i="6"/>
  <c r="C152" i="5" l="1"/>
  <c r="K7" i="5"/>
  <c r="E10" i="6"/>
  <c r="F4" i="6"/>
  <c r="F10" i="6" l="1"/>
  <c r="E25" i="6"/>
  <c r="F12" i="12" l="1"/>
  <c r="B48" i="13" l="1"/>
  <c r="AD11" i="11"/>
  <c r="C48" i="13" l="1"/>
  <c r="AE11" i="11"/>
  <c r="AV10" i="11" s="1"/>
  <c r="B47" i="13" l="1"/>
  <c r="AD10" i="11"/>
  <c r="C47" i="13" l="1"/>
  <c r="AE10" i="11"/>
  <c r="AV9" i="11" s="1"/>
  <c r="B46" i="13" l="1"/>
  <c r="AD9" i="11"/>
  <c r="C46" i="13" l="1"/>
  <c r="AE9" i="11"/>
  <c r="AV8" i="11" s="1"/>
  <c r="B45" i="13" l="1"/>
  <c r="AD8" i="11"/>
  <c r="AE8" i="11" l="1"/>
  <c r="AV7" i="11" s="1"/>
  <c r="C45" i="13"/>
  <c r="B8" i="13" l="1"/>
  <c r="C3" i="13" s="1"/>
  <c r="B44" i="13"/>
  <c r="B49" i="13" s="1"/>
  <c r="AD7" i="11"/>
  <c r="AD12" i="11" s="1"/>
  <c r="Q6" i="10" l="1"/>
  <c r="C44" i="13"/>
  <c r="AE7" i="11"/>
  <c r="AV6" i="11" s="1"/>
  <c r="C49" i="13"/>
</calcChain>
</file>

<file path=xl/comments1.xml><?xml version="1.0" encoding="utf-8"?>
<comments xmlns="http://schemas.openxmlformats.org/spreadsheetml/2006/main">
  <authors>
    <author>Karol Arroyo Hernadez</author>
  </authors>
  <commentList>
    <comment ref="D201" authorId="0" shapeId="0">
      <text>
        <r>
          <rPr>
            <b/>
            <sz val="9"/>
            <color indexed="81"/>
            <rFont val="Tahoma"/>
            <family val="2"/>
          </rPr>
          <t>Karol Arroyo Hernadez:</t>
        </r>
        <r>
          <rPr>
            <sz val="9"/>
            <color indexed="81"/>
            <rFont val="Tahoma"/>
            <family val="2"/>
          </rPr>
          <t xml:space="preserve">
La diferencia corresponde al traslado de partida que se encuentra en tramite ante el Min Hacienda</t>
        </r>
      </text>
    </comment>
  </commentList>
</comments>
</file>

<file path=xl/sharedStrings.xml><?xml version="1.0" encoding="utf-8"?>
<sst xmlns="http://schemas.openxmlformats.org/spreadsheetml/2006/main" count="2777" uniqueCount="626">
  <si>
    <t>Partida</t>
  </si>
  <si>
    <t xml:space="preserve">Apropiación Actual </t>
  </si>
  <si>
    <t xml:space="preserve"> Cuota Comprometida </t>
  </si>
  <si>
    <t xml:space="preserve"> Solicitado </t>
  </si>
  <si>
    <t> Gasto Real</t>
  </si>
  <si>
    <t>C+D</t>
  </si>
  <si>
    <t xml:space="preserve">Disponible Presupuestario </t>
  </si>
  <si>
    <t> % de Ejecución Gasto Real</t>
  </si>
  <si>
    <t>% de Disponible</t>
  </si>
  <si>
    <t>0  REMUNERACIONES</t>
  </si>
  <si>
    <t>1  SERVICIOS</t>
  </si>
  <si>
    <t>2  MATERIALES Y SUMINIS</t>
  </si>
  <si>
    <t>5  BIENES DURADEROS</t>
  </si>
  <si>
    <t>6  TRANSF. CORRIENTES</t>
  </si>
  <si>
    <t>7 TRANSF. DE CAPITAL</t>
  </si>
  <si>
    <t>TOTAL</t>
  </si>
  <si>
    <t>Tipo de Gasto</t>
  </si>
  <si>
    <t>Remuneraciones + Cargas Patronales</t>
  </si>
  <si>
    <t>Gasto Operativo</t>
  </si>
  <si>
    <t>Inversión publica</t>
  </si>
  <si>
    <t>Transferencias Corrientes</t>
  </si>
  <si>
    <t>Transferencias de Capital</t>
  </si>
  <si>
    <t xml:space="preserve">G O B I E R N O   C E N T R A L   D E   C O S T A   R I C A            </t>
  </si>
  <si>
    <t xml:space="preserve">MINISTERIO DE HACIENDA - CONTABILIDAD NACIONAL              </t>
  </si>
  <si>
    <t>Pos Pre</t>
  </si>
  <si>
    <t>Aprop. Act</t>
  </si>
  <si>
    <t>Cuota. Comp</t>
  </si>
  <si>
    <t>Solicitado</t>
  </si>
  <si>
    <t>% Solic.</t>
  </si>
  <si>
    <t>Comprometido</t>
  </si>
  <si>
    <t>% Comp</t>
  </si>
  <si>
    <t>Rec. M/cía</t>
  </si>
  <si>
    <t>% Rec. M/cía</t>
  </si>
  <si>
    <t>Devengado</t>
  </si>
  <si>
    <t>% Deve.</t>
  </si>
  <si>
    <t>Pagado</t>
  </si>
  <si>
    <t>% Pagado</t>
  </si>
  <si>
    <t>Disp. Pre</t>
  </si>
  <si>
    <t>% Disp. Pre</t>
  </si>
  <si>
    <t>Disp. Cuota</t>
  </si>
  <si>
    <t>% Disp. Cuota</t>
  </si>
  <si>
    <t>Representar en</t>
  </si>
  <si>
    <t>1 CRC</t>
  </si>
  <si>
    <t>Compromiso</t>
  </si>
  <si>
    <t xml:space="preserve">Proyección ejecución por partida presupuestaria 2015 </t>
  </si>
  <si>
    <t>Apropiación actual</t>
  </si>
  <si>
    <t>Proyección de gasto a diciembre</t>
  </si>
  <si>
    <t>Saldo disponible</t>
  </si>
  <si>
    <t>Proyección ejecución por programa presupuestario 2015</t>
  </si>
  <si>
    <t>779: Actividad Central</t>
  </si>
  <si>
    <t>780: Promoción de la Paz</t>
  </si>
  <si>
    <t>781: PGR</t>
  </si>
  <si>
    <t>783: Administración Penitenciaria</t>
  </si>
  <si>
    <t>784: Registro Nacional</t>
  </si>
  <si>
    <t>Disponible al 07 de Setiembre</t>
  </si>
  <si>
    <t>214  - Ministerio de Justicia y Gracia</t>
  </si>
  <si>
    <t>Programa</t>
  </si>
  <si>
    <t>INFORME DE PRESUPUESTO DE EGRESOS   POR PARTIDA</t>
  </si>
  <si>
    <t xml:space="preserve"> Total de Egresos</t>
  </si>
  <si>
    <t>% Componentes de la Apropiación</t>
  </si>
  <si>
    <t>Apropiación Actual</t>
  </si>
  <si>
    <t>Solicitado (solicitudes ingresadas en Compra Red)</t>
  </si>
  <si>
    <t>Comprometido (en órdenes de pedido)</t>
  </si>
  <si>
    <t>Rec. Mercancía</t>
  </si>
  <si>
    <t>Devengado (Real ejecutado, todas las facturas, lo pagado más lo ingresado pendiente de pago)</t>
  </si>
  <si>
    <t>Disponible Presupuestario</t>
  </si>
  <si>
    <t>Presupuesto Ejecutado (solicitado+comprometido+rec. mercacía+devengado)</t>
  </si>
  <si>
    <t>Real Pagado</t>
  </si>
  <si>
    <t>Disponoble cuota</t>
  </si>
  <si>
    <t>INFORME DE PRESUPUESTO DE EGRESOS</t>
  </si>
  <si>
    <t>INFORME DE PRESUPUESTO DE EGRESOS   POR PROGRAMA</t>
  </si>
  <si>
    <t>Programas</t>
  </si>
  <si>
    <t>%</t>
  </si>
  <si>
    <t xml:space="preserve"> % </t>
  </si>
  <si>
    <t xml:space="preserve"> % de Ejecución </t>
  </si>
  <si>
    <t>PROG 779</t>
  </si>
  <si>
    <t>PROG 780</t>
  </si>
  <si>
    <t>PROG 781</t>
  </si>
  <si>
    <t>PROG 783</t>
  </si>
  <si>
    <t>PROG 784</t>
  </si>
  <si>
    <t>Monto</t>
  </si>
  <si>
    <t>07-Enero</t>
  </si>
  <si>
    <t>02-Febrero</t>
  </si>
  <si>
    <t>01-Marzo</t>
  </si>
  <si>
    <t>01-ABRIL</t>
  </si>
  <si>
    <t>Apropiación</t>
  </si>
  <si>
    <t>Disponible</t>
  </si>
  <si>
    <t>% Ejecución</t>
  </si>
  <si>
    <t>22-ABRIL</t>
  </si>
  <si>
    <t>11-MAYO</t>
  </si>
  <si>
    <t>Fondo</t>
  </si>
  <si>
    <t>Desc.Pos.presupuestaria</t>
  </si>
  <si>
    <t>E-0</t>
  </si>
  <si>
    <t>REMUNERACIONES</t>
  </si>
  <si>
    <t>E-001</t>
  </si>
  <si>
    <t>REMUNERACIONES BASICAS</t>
  </si>
  <si>
    <t>E-00101</t>
  </si>
  <si>
    <t>SUELDOS PARA CARGOS FIJOS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</si>
  <si>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</si>
  <si>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</si>
  <si>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</si>
  <si>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</si>
  <si>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</si>
  <si>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</si>
  <si>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</si>
  <si>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</si>
  <si>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</si>
  <si>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</si>
  <si>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</si>
  <si>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</si>
  <si>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</si>
  <si>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</si>
  <si>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E-00303</t>
  </si>
  <si>
    <t>DECIMOTERCER MES</t>
  </si>
  <si>
    <t>E-004</t>
  </si>
  <si>
    <t>CONTRIB. PATRONALES AL DES. Y LA SEGURIDAD SOCIAL</t>
  </si>
  <si>
    <t>E0040120077900</t>
  </si>
  <si>
    <t>E0040520077900</t>
  </si>
  <si>
    <t>E-005</t>
  </si>
  <si>
    <t>CONTRIB PATRONALES A FOND PENS Y OTROS FOND CAPIT.</t>
  </si>
  <si>
    <t>E0050120077900</t>
  </si>
  <si>
    <t>CCSS CONTRIBUCION PATRONAL SEGURO PENSIONES (SEGUN LEY NO. 17 DEL 22/10/1943, LEY CONSTITUTIVA DE LA C.C.S.S. Y REGLAMENTO NO. 6898</t>
  </si>
  <si>
    <t>E0050220077900</t>
  </si>
  <si>
    <t>CCSS APORTE PATRONAL REGIMEN PENSIONES (SEGUN LEY DE PROTECCION AL TRABAJADOR NO. 7983 DEL 16 DE FEBRERO DEL 2000).</t>
  </si>
  <si>
    <t>E0050320077900</t>
  </si>
  <si>
    <t>CCSS APORTE PATRONAL FONDO CAPITALIZACION LABORAL (SEGUN LEY DE PROTECCION AL TRABAJADOR NO. 7983 DEL 16 DE FEBRERO DEL 2000).</t>
  </si>
  <si>
    <t>E-1</t>
  </si>
  <si>
    <t>SERVICIOS</t>
  </si>
  <si>
    <t>E-101</t>
  </si>
  <si>
    <t>ALQUILERES</t>
  </si>
  <si>
    <t>E-10103</t>
  </si>
  <si>
    <t>ALQUILER DE EQUIPO DE COMPUTO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</si>
  <si>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</si>
  <si>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</si>
  <si>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</si>
  <si>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</si>
  <si>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</si>
  <si>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</si>
  <si>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</si>
  <si>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</si>
  <si>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</si>
  <si>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</si>
  <si>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</si>
  <si>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</si>
  <si>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</si>
  <si>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</si>
  <si>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</si>
  <si>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</si>
  <si>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</si>
  <si>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</si>
  <si>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</si>
  <si>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</si>
  <si>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</si>
  <si>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</si>
  <si>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E-104</t>
  </si>
  <si>
    <t>SERVICIOS DE GESTION Y APOYO</t>
  </si>
  <si>
    <t>E-10404</t>
  </si>
  <si>
    <t>SERVICIOS EN CIENCIAS ECONOMICAS Y SOCIALES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</si>
  <si>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</si>
  <si>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</si>
  <si>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</si>
  <si>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</si>
  <si>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</si>
  <si>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</si>
  <si>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</si>
  <si>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</si>
  <si>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</si>
  <si>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</si>
  <si>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</si>
  <si>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</si>
  <si>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</si>
  <si>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</si>
  <si>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</si>
  <si>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</si>
  <si>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</si>
  <si>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</si>
  <si>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</si>
  <si>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</si>
  <si>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</si>
  <si>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</si>
  <si>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</si>
  <si>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</si>
  <si>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</si>
  <si>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</si>
  <si>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</si>
  <si>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</si>
  <si>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</si>
  <si>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</si>
  <si>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</si>
  <si>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</si>
  <si>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</si>
  <si>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</si>
  <si>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</si>
  <si>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</si>
  <si>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</si>
  <si>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</si>
  <si>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</si>
  <si>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</si>
  <si>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E-10999</t>
  </si>
  <si>
    <t>OTROS IMPUESTOS</t>
  </si>
  <si>
    <t>E-199</t>
  </si>
  <si>
    <t>SERVICIOS DIVERSOS</t>
  </si>
  <si>
    <t>E-19905</t>
  </si>
  <si>
    <t>DEDUCIBLES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</si>
  <si>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</si>
  <si>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</si>
  <si>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</si>
  <si>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</si>
  <si>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</si>
  <si>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</si>
  <si>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</si>
  <si>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</si>
  <si>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</si>
  <si>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</si>
  <si>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</si>
  <si>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</si>
  <si>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</si>
  <si>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</si>
  <si>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</si>
  <si>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</si>
  <si>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</si>
  <si>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</si>
  <si>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</si>
  <si>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</si>
  <si>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E-20304</t>
  </si>
  <si>
    <t>MAT. Y PROD. ELECTRICOS, TELEFONICOS Y DE COMPUTO</t>
  </si>
  <si>
    <t>E-20305</t>
  </si>
  <si>
    <t>MATERIALES Y PRODUCTOS DE VIDRIO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</si>
  <si>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</si>
  <si>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</si>
  <si>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</si>
  <si>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</si>
  <si>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</si>
  <si>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</si>
  <si>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</si>
  <si>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</si>
  <si>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</si>
  <si>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</si>
  <si>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</si>
  <si>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 MATERIALES Y 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</si>
  <si>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</si>
  <si>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</si>
  <si>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</si>
  <si>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</si>
  <si>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</si>
  <si>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</si>
  <si>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</si>
  <si>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</si>
  <si>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</si>
  <si>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</si>
  <si>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</si>
  <si>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</si>
  <si>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</si>
  <si>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</si>
  <si>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</si>
  <si>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</si>
  <si>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</si>
  <si>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</si>
  <si>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</si>
  <si>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</si>
  <si>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E6010221077900</t>
  </si>
  <si>
    <t>COMISION NACIONAL DE PREVENCION DE RIESGOS Y ATENCION DE EMERGENCIAS. (APORTE ANUAL DE CONFORMIDAD CON EL ARTICULO 42 DE LA LEY NACIONAL</t>
  </si>
  <si>
    <t>E6010221577900</t>
  </si>
  <si>
    <t>AGENCIA DE PROTECCION DE DATOS DE LOS HABITANTES (PRODHAB). (DE CONFORMIDAD CON EL ARTICULO 20, INCISO B, LEY PROTECCION DE LA PERSONA FRENTE AL</t>
  </si>
  <si>
    <t>E6010320077900</t>
  </si>
  <si>
    <t>CCSS CONTRIBUCION ESTATAL SEGURO PENSIONES (CONTRIBUCION ESTATAL AL SEGURO DE PENSIONES, SEGUN LEY NO. 17 DEL 22/10/1943, LEY CONSTITUTIVA</t>
  </si>
  <si>
    <t>E6010320277900</t>
  </si>
  <si>
    <t>CCSS CONTRIBUCION ESTATAL SEGURO SALUD (CONTRIBUCION ESTATAL AL SEGURO DE SALUD, SEGUN LEY NO. 17 DEL 22/10/1943, LEY CONSTITUTIVA DE LA</t>
  </si>
  <si>
    <t>E-603</t>
  </si>
  <si>
    <t>PRESTACIONES</t>
  </si>
  <si>
    <t>E-60301</t>
  </si>
  <si>
    <t>PRESTACIONES LEGALES</t>
  </si>
  <si>
    <t>E-60399</t>
  </si>
  <si>
    <t>OTRAS PRESTACIONES</t>
  </si>
  <si>
    <t>E-606</t>
  </si>
  <si>
    <t>OTRAS TRANSFERENCIAS CORRIENTES AL SECTOR PRIVADO</t>
  </si>
  <si>
    <t>E-60601</t>
  </si>
  <si>
    <t>INDEMNIZACIONES</t>
  </si>
  <si>
    <t>E-60602</t>
  </si>
  <si>
    <t>REINTEGROS O DEVOLUCIONES</t>
  </si>
  <si>
    <t>E-607</t>
  </si>
  <si>
    <t>TRANSFERENCIAS CORRIENTES AL SECTOR EXTERNO</t>
  </si>
  <si>
    <t>E6070120577900</t>
  </si>
  <si>
    <t>INSTITUTO LATINOAMERICANO PARA LA PREVENCION DEL DELITO Y EL TRATAMIENTO DEL DELINCUENTE (ILANUD). (CUOTA ANUAL ORDINARIA PARA LA PREVENCION DEL</t>
  </si>
  <si>
    <t>E6070123077900</t>
  </si>
  <si>
    <t>ORGANIZACION MUNDIAL DE LA PROPIEDAD INTELECTUAL (OMPI). (CUOTA ORDINARIA SEGUN LEY NO. 6468 DEL 18/09/1980).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</si>
  <si>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</si>
  <si>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</si>
  <si>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</si>
  <si>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</si>
  <si>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</si>
  <si>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</si>
  <si>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</si>
  <si>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</si>
  <si>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</si>
  <si>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</si>
  <si>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</si>
  <si>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</si>
  <si>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E-50106</t>
  </si>
  <si>
    <t>EQUIPO SANITARIO, DE LABORATORIO E INVESTIGACION</t>
  </si>
  <si>
    <t>E-50107</t>
  </si>
  <si>
    <t>EQUIPO Y MOBILIARIO EDUCACIONAL, DEP. Y RECREATIVO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</si>
  <si>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</si>
  <si>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</si>
  <si>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</si>
  <si>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</si>
  <si>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</si>
  <si>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</si>
  <si>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E0040120078000</t>
  </si>
  <si>
    <t>E0040520078000</t>
  </si>
  <si>
    <t>E0050120078000</t>
  </si>
  <si>
    <t>E0050220078000</t>
  </si>
  <si>
    <t>E0050320078000</t>
  </si>
  <si>
    <t>E-10101</t>
  </si>
  <si>
    <t>ALQUILER DE EDIFICIOS, LOCALES Y TERRENOS</t>
  </si>
  <si>
    <t>E-10302</t>
  </si>
  <si>
    <t>PUBLICIDAD Y PROPAGANDA</t>
  </si>
  <si>
    <t>E-10701</t>
  </si>
  <si>
    <t>ACTIVIDADES DE CAPACITACION</t>
  </si>
  <si>
    <t>E6010320078000</t>
  </si>
  <si>
    <t>E6010320278000</t>
  </si>
  <si>
    <t>E-00105</t>
  </si>
  <si>
    <t>SUPLENCIAS</t>
  </si>
  <si>
    <t>E0040120078100</t>
  </si>
  <si>
    <t>E0040520078100</t>
  </si>
  <si>
    <t>E0050120078100</t>
  </si>
  <si>
    <t>E0050220078100</t>
  </si>
  <si>
    <t>E0050320078100</t>
  </si>
  <si>
    <t>E-10102</t>
  </si>
  <si>
    <t>ALQUILER DE MAQUINARIA, EQUIPO Y MOBILIARIO</t>
  </si>
  <si>
    <t>E-10104</t>
  </si>
  <si>
    <t>ALQUILER Y DERECHOS PARA TELECOMUNICACIONES</t>
  </si>
  <si>
    <t>E-10304</t>
  </si>
  <si>
    <t>TRANSPORTE DE BIENES</t>
  </si>
  <si>
    <t>E-10307</t>
  </si>
  <si>
    <t>SERVICIOS DE TRANSFERENCIA ELECTRONICA DE INFORMA</t>
  </si>
  <si>
    <t>E-10402</t>
  </si>
  <si>
    <t>SERVICIOS JURIDICOS</t>
  </si>
  <si>
    <t>E-10403</t>
  </si>
  <si>
    <t>SERVICIOS DE INGENIERIA</t>
  </si>
  <si>
    <t>E-10405</t>
  </si>
  <si>
    <t>SERVICIO DE DESARROLLO DE SISTEMAS INFORMATICOS</t>
  </si>
  <si>
    <t>E-10804</t>
  </si>
  <si>
    <t>MANT. Y REPARACION DE MAQUINARIA Y EQUIPO DE PROD.</t>
  </si>
  <si>
    <t>E-19902</t>
  </si>
  <si>
    <t>INTERESES MORATORIOS Y MULTAS</t>
  </si>
  <si>
    <t>E-20302</t>
  </si>
  <si>
    <t>MATERIALES Y PRODUCTOS MINERALES Y ASFALTICOS</t>
  </si>
  <si>
    <t>E-20303</t>
  </si>
  <si>
    <t>MADERA Y SUS DERIVADOS</t>
  </si>
  <si>
    <t>E-599</t>
  </si>
  <si>
    <t>BIENES DURADEROS DIVERSOS</t>
  </si>
  <si>
    <t>E-59903</t>
  </si>
  <si>
    <t>BIENES INTANGIBLES</t>
  </si>
  <si>
    <t>E6010320078100</t>
  </si>
  <si>
    <t>E6010320278100</t>
  </si>
  <si>
    <t>E-00103</t>
  </si>
  <si>
    <t>SERVICIOS ESPECIALES</t>
  </si>
  <si>
    <t>E-00202</t>
  </si>
  <si>
    <t>RECARGO DE FUNCIONES</t>
  </si>
  <si>
    <t>E-00203</t>
  </si>
  <si>
    <t>DISPONIBILIDAD LABORAL</t>
  </si>
  <si>
    <t>E0040120078300</t>
  </si>
  <si>
    <t>E0040520078300</t>
  </si>
  <si>
    <t>E0050120078300</t>
  </si>
  <si>
    <t>E0050220078300</t>
  </si>
  <si>
    <t>E0050320078300</t>
  </si>
  <si>
    <t>E-099</t>
  </si>
  <si>
    <t>REMUNERACIONES DIVERSAS</t>
  </si>
  <si>
    <t>E-09901</t>
  </si>
  <si>
    <t>GASTOS DE REPRESENTACION PERSONAL</t>
  </si>
  <si>
    <t>E-10401</t>
  </si>
  <si>
    <t>SERVICIOS MEDICOS Y DE LABORATORIO</t>
  </si>
  <si>
    <t>E-19901</t>
  </si>
  <si>
    <t>SERVICIOS DE REGULACION</t>
  </si>
  <si>
    <t>E-20103</t>
  </si>
  <si>
    <t>PRODUCTOS VETERINARIOS</t>
  </si>
  <si>
    <t>E-20204</t>
  </si>
  <si>
    <t>ALIMENTOS PARA ANIMALES</t>
  </si>
  <si>
    <t>E-50207</t>
  </si>
  <si>
    <t>INSTALACIONES</t>
  </si>
  <si>
    <t>E6010221078300</t>
  </si>
  <si>
    <t>UNIDAD EJECUTORA DEL PROGRAMA PARA LA PREVENCION DE LA VIOLENCIA Y PROMOCION DE LA INCLUSION SOCIAL. (LEY NO. 9025 DEL 15/02/2012, PUBLICADA</t>
  </si>
  <si>
    <t>E6010320078300</t>
  </si>
  <si>
    <t>E6010320278300</t>
  </si>
  <si>
    <t>E-602</t>
  </si>
  <si>
    <t>TRANSFERENCIAS CORRIENTES A PERSONAS</t>
  </si>
  <si>
    <t>E-60299</t>
  </si>
  <si>
    <t>OTRAS TRANSFERENCIAS A PERSONAS</t>
  </si>
  <si>
    <t>E-7</t>
  </si>
  <si>
    <t>TRANSFERENCIAS DE CAPITAL</t>
  </si>
  <si>
    <t>E-701</t>
  </si>
  <si>
    <t>TRANSFERENCIAS DE CAPITAL AL SECTOR PUBLICO</t>
  </si>
  <si>
    <t>E7010220078300</t>
  </si>
  <si>
    <t>PATRONATO DE CONSTRUCCION, INSTALACIONES Y ADQUISICION DE BIENES. (LEY NO. 6739 DEL 24/04/1982, ARTICULO 6, INCISO C, Y LEY NO. 4762</t>
  </si>
  <si>
    <t>E0040120078400</t>
  </si>
  <si>
    <t>E0040520078400</t>
  </si>
  <si>
    <t>E0050120078400</t>
  </si>
  <si>
    <t>E0050220078400</t>
  </si>
  <si>
    <t>E0050320078400</t>
  </si>
  <si>
    <t>E0050520078400</t>
  </si>
  <si>
    <t>ASOCIACION SOLIDARISTA DE EMPLEADOS DEL REGISTRO NACIONAL (ASOREN). (APORTE PATRONAL SEGUN LEY DE ASOCIACIONES SOLIDARISTAS NO. 6970 DEL 07/11/1984</t>
  </si>
  <si>
    <t>E6010320078400</t>
  </si>
  <si>
    <t>E6010320278400</t>
  </si>
  <si>
    <t>Presupuesto Actual</t>
  </si>
  <si>
    <t>E-00401</t>
  </si>
  <si>
    <t>E-00405</t>
  </si>
  <si>
    <t>E-00501</t>
  </si>
  <si>
    <t>E-00502</t>
  </si>
  <si>
    <t>E-00503</t>
  </si>
  <si>
    <t>E-00505</t>
  </si>
  <si>
    <t>E-50102</t>
  </si>
  <si>
    <t>E-60102</t>
  </si>
  <si>
    <t>E6010221078400</t>
  </si>
  <si>
    <t>E-60103</t>
  </si>
  <si>
    <t>E-60701</t>
  </si>
  <si>
    <t>E-70102</t>
  </si>
  <si>
    <t>E7010221078300</t>
  </si>
  <si>
    <t>REMUNERACIONES BASIC</t>
  </si>
  <si>
    <t>SUELDOS P/ C. FIJOS</t>
  </si>
  <si>
    <t>REMUNERACIONES EVENT</t>
  </si>
  <si>
    <t>TIEMPO EXTRAORD.</t>
  </si>
  <si>
    <t>DISPONIBILIDAD LAB.</t>
  </si>
  <si>
    <t>INCENTIVOS SALARIAL</t>
  </si>
  <si>
    <t>RETRIB AÑOS SERVIDOS</t>
  </si>
  <si>
    <t>REST. EJERC LIB PROF</t>
  </si>
  <si>
    <t>OTROS INCENT SALAR.</t>
  </si>
  <si>
    <t>CONT PATR DESA S.SOC</t>
  </si>
  <si>
    <t>CONT P.SEG.S C.C.S.S</t>
  </si>
  <si>
    <t>CCSS CONT.PAT S.SALU</t>
  </si>
  <si>
    <t>CONTRIB PAT B.P.D.C.</t>
  </si>
  <si>
    <t>BPDC</t>
  </si>
  <si>
    <t>CONT PATR F.PENS OTR</t>
  </si>
  <si>
    <t>CONT P.SPENS.C.C.S.S</t>
  </si>
  <si>
    <t>CCSS CONT.PAT S.PENS</t>
  </si>
  <si>
    <t>APORT P.RÉG.OBLI.P.C</t>
  </si>
  <si>
    <t>CCSS APO.PAT.REG.PEN</t>
  </si>
  <si>
    <t>APORT P.FOND.CAP.LAB</t>
  </si>
  <si>
    <t>CCSS APO.PAT.FON.CAP</t>
  </si>
  <si>
    <t>CONT.PAT.A.F.A.EPRIV</t>
  </si>
  <si>
    <t>ASOC.SOLID.EMP.REGIS</t>
  </si>
  <si>
    <t>REMUNERACIONES DIVER</t>
  </si>
  <si>
    <t>GASTOS REPRES.PERS.</t>
  </si>
  <si>
    <t>ALQ EDIF, LOC.Y TERR</t>
  </si>
  <si>
    <t>ALQ DE MAQ, EQ Y MOB</t>
  </si>
  <si>
    <t>ALQ. EQ. DE COMPUTO</t>
  </si>
  <si>
    <t>ALQ Y DERECH P.TELEC</t>
  </si>
  <si>
    <t>SERVICIOS BÁSICOS</t>
  </si>
  <si>
    <t>SERV.AGUA Y ALCANT.</t>
  </si>
  <si>
    <t>SERV ENERGÍA ELÉCT</t>
  </si>
  <si>
    <t>SERV.TELECOMUNIC.</t>
  </si>
  <si>
    <t>OTROS SERV.BÁSICOS</t>
  </si>
  <si>
    <t>SERV COMERC Y FINANC</t>
  </si>
  <si>
    <t>INFORMACIÓN</t>
  </si>
  <si>
    <t>IMP., ENCUAD Y OTROS</t>
  </si>
  <si>
    <t>COM G.P.S.FIN Y COM.</t>
  </si>
  <si>
    <t>SERV TRANSF.ELEC.INF</t>
  </si>
  <si>
    <t>SERV DE GEST Y APOYO</t>
  </si>
  <si>
    <t>SERV.MEDICOS YDE LAB</t>
  </si>
  <si>
    <t>SERV. DE INGENIERÍA</t>
  </si>
  <si>
    <t>SERV.CIEN.ECON.Y SOC</t>
  </si>
  <si>
    <t>SERV.DES.SIST.INFORM</t>
  </si>
  <si>
    <t>OTROS SERV.GEST.APOY</t>
  </si>
  <si>
    <t>GAST. VIAJE Y TRANSP</t>
  </si>
  <si>
    <t>TRANSP.DENT.DEL PAÍS</t>
  </si>
  <si>
    <t>VIÁTICOS DENTRO PAÍS</t>
  </si>
  <si>
    <t>TRANSPORTE EN EL EXT</t>
  </si>
  <si>
    <t>VIÁTICOS EN EXTERIOR</t>
  </si>
  <si>
    <t>SEGUROS REASEG Y OTR</t>
  </si>
  <si>
    <t>CAPACIT. Y PROTOCOLO</t>
  </si>
  <si>
    <t>ACTIV. CAPACITACIÓN</t>
  </si>
  <si>
    <t>ACTIV.PROTOCOL Y SOC</t>
  </si>
  <si>
    <t>GASTOS REPRES.INSTIT</t>
  </si>
  <si>
    <t>MANTEN. Y REPARACIÓN</t>
  </si>
  <si>
    <t>MANT.EDIF.,LOC.YTERR</t>
  </si>
  <si>
    <t>MANT.Y REP.M.EQ.PROD</t>
  </si>
  <si>
    <t>MANT.Y REP.EQ.TRANSP</t>
  </si>
  <si>
    <t>MANT.Y REP.EQ.COMUNI</t>
  </si>
  <si>
    <t>MANT.Y REP.EQ.MOB.OF</t>
  </si>
  <si>
    <t>MANT.YREP.EQ.C.S.INF</t>
  </si>
  <si>
    <t>MANT.Y REP.OTROS EQ.</t>
  </si>
  <si>
    <t>TROS IMPUESTOS</t>
  </si>
  <si>
    <t>SERV. DE REGULACIÓN</t>
  </si>
  <si>
    <t>INT. MORAT. Y MULTAS</t>
  </si>
  <si>
    <t>MATERIALES Y SUMINIS</t>
  </si>
  <si>
    <t>PRODUC QUÍM Y CONEX</t>
  </si>
  <si>
    <t>COMB Y LUBRICANTES</t>
  </si>
  <si>
    <t>PROD FARMAC Y MEDIC.</t>
  </si>
  <si>
    <t>PRODUCTOS VETERIN.</t>
  </si>
  <si>
    <t>TINTAS, PINT.Y DILUY</t>
  </si>
  <si>
    <t>OTR.PROD.QUÍM YCONEX</t>
  </si>
  <si>
    <t>ALIMEN Y PRODUC AGRO</t>
  </si>
  <si>
    <t>ALIM. PARA ANIMALES</t>
  </si>
  <si>
    <t>MATER P.CONST Y MANT</t>
  </si>
  <si>
    <t>MATERIALES YPROD MET</t>
  </si>
  <si>
    <t>MAT Y PROD.MIN.Y ASF</t>
  </si>
  <si>
    <t>MADERA Y SUS DERIV</t>
  </si>
  <si>
    <t>MAT.YPROD.ELÉC,TEL.C</t>
  </si>
  <si>
    <t>MATER. Y PROD VIDRIO</t>
  </si>
  <si>
    <t>MAT. Y PROD PLÁSTICO</t>
  </si>
  <si>
    <t>OTR.MAT.YP.USO CONST</t>
  </si>
  <si>
    <t>HERRAM REPUE Y ACCES</t>
  </si>
  <si>
    <t>HERRAM.E INSTRUMENTO</t>
  </si>
  <si>
    <t>REP.Y ACCESORIOS</t>
  </si>
  <si>
    <t>ÚTILES MAT Y SUM DIV</t>
  </si>
  <si>
    <t>ÚT.Y MAT.OF.Y COMP.</t>
  </si>
  <si>
    <t>UT.Y MAT.MÉD,H.Y INV</t>
  </si>
  <si>
    <t>PROD.PAPEL,CART.EIMP</t>
  </si>
  <si>
    <t>ÚTILES Y MATER.LIMP</t>
  </si>
  <si>
    <t>ÚTILES YMAT.RESG.SEG</t>
  </si>
  <si>
    <t>ÚTILES YMAT.COC.YCOM</t>
  </si>
  <si>
    <t>OTR.UT,MAT Y SUM.DIV</t>
  </si>
  <si>
    <t>MAQ, EQUIPO Y MOB</t>
  </si>
  <si>
    <t>MAQ.Y EQ. PRODUCCIÓN</t>
  </si>
  <si>
    <t>EQUIPO DE TRANSPORTE</t>
  </si>
  <si>
    <t>EQ. DE COMUNICACIÓN</t>
  </si>
  <si>
    <t>EQUIPO Y MOB. OFIC.</t>
  </si>
  <si>
    <t>EQ.Y PROGR. CÓMPUTO</t>
  </si>
  <si>
    <t>EQ.SANIT, LAB. E INV</t>
  </si>
  <si>
    <t>EQ.YMOB.EDUC,DEP.Y R</t>
  </si>
  <si>
    <t>MAQ,EQ Y MOV.DIVERSO</t>
  </si>
  <si>
    <t>CONST, ADIC YMEJORAS</t>
  </si>
  <si>
    <t>BIENES DURADEROS DIV</t>
  </si>
  <si>
    <t>TRANSF. CORRIENTES</t>
  </si>
  <si>
    <t>TRANSF CTES S. PUB</t>
  </si>
  <si>
    <t>TRANSF.CTE ORG.DESC</t>
  </si>
  <si>
    <t>COM.NAL.PRE.RIES.A.E</t>
  </si>
  <si>
    <t>UNIDAD EJECUTORA PRO</t>
  </si>
  <si>
    <t>JTA ADM.REGISTRO N.A</t>
  </si>
  <si>
    <t>AGENCIA PROTECCION D</t>
  </si>
  <si>
    <t>TRANSF.CTE I.D.NOE</t>
  </si>
  <si>
    <t>CCSS CONT.EST S.PENS</t>
  </si>
  <si>
    <t>CCSS CONT.EST S.SALU</t>
  </si>
  <si>
    <t>TRANSF CTES A PERS</t>
  </si>
  <si>
    <t>OTRAS TRANSF. A PERS</t>
  </si>
  <si>
    <t>OTR.TRANSF.CTE SPRIV</t>
  </si>
  <si>
    <t>REINTEGROS O DEVOL.</t>
  </si>
  <si>
    <t>TRANSF CTES AL S.EXT</t>
  </si>
  <si>
    <t>TRANSF.C.TE ORG.INT.</t>
  </si>
  <si>
    <t>INST.LATINOAME.PREVE</t>
  </si>
  <si>
    <t>ORG.MUNDIAL PROPIEDA</t>
  </si>
  <si>
    <t>TRANSF. DE CAPITAL</t>
  </si>
  <si>
    <t>TRANSF DE CTAL S PUB</t>
  </si>
  <si>
    <t>TRANSF.CTAL ORG.DESC</t>
  </si>
  <si>
    <t>PATRONATO CONSTRUC.</t>
  </si>
  <si>
    <t>TOTALES</t>
  </si>
  <si>
    <t>PUBLICIDAD Y PROPAG.</t>
  </si>
  <si>
    <t>SERVICIOS JURÍDICOS</t>
  </si>
  <si>
    <t>Total gasto Real</t>
  </si>
  <si>
    <t>Descripción</t>
  </si>
  <si>
    <t xml:space="preserve">Presupuesto Actual </t>
  </si>
  <si>
    <t>Disponible Presupuesto</t>
  </si>
  <si>
    <t>Cuota Liberación</t>
  </si>
  <si>
    <t>214</t>
  </si>
  <si>
    <t>001</t>
  </si>
  <si>
    <t>21477900</t>
  </si>
  <si>
    <t>280</t>
  </si>
  <si>
    <t>21478000</t>
  </si>
  <si>
    <t>21478100</t>
  </si>
  <si>
    <t>21478300</t>
  </si>
  <si>
    <t>21478400</t>
  </si>
  <si>
    <t>01-JUNIO</t>
  </si>
  <si>
    <t>Centro gestor</t>
  </si>
  <si>
    <t>Pos.presupuestaria</t>
  </si>
  <si>
    <t>Ley de Presupuesto</t>
  </si>
  <si>
    <t>Disponible Liberado</t>
  </si>
  <si>
    <t>Recepción Mercancía</t>
  </si>
  <si>
    <t>30-JUNIO</t>
  </si>
  <si>
    <t xml:space="preserve">% de Ejecución </t>
  </si>
  <si>
    <t>2  MATERIALES Y SUMINISTROS</t>
  </si>
  <si>
    <t>03-AGOSTO</t>
  </si>
  <si>
    <t>26-AGOSTO</t>
  </si>
  <si>
    <t>31-AGOSTO</t>
  </si>
  <si>
    <t>30-SETIEMBRE</t>
  </si>
  <si>
    <t>E6070120877900</t>
  </si>
  <si>
    <t>31-OCTUBRE</t>
  </si>
  <si>
    <t>30-NOVIEMBRE</t>
  </si>
  <si>
    <t xml:space="preserve">ORGANIZ COOP. DESAR. ECON </t>
  </si>
  <si>
    <t>23-DICIEMBRE</t>
  </si>
  <si>
    <t>CCSS CONTRIBUCION PATRONAL SEGURO SALUD (SEGUN LEY NO. 17 DEL 22/10/1943, LEY CONSTITUTIVA DE LA C.C.S.S. Y REGLAMENTO NO. 7082</t>
  </si>
  <si>
    <t>BANCO POPULAR Y DE DESARROLLO COMUNAL. (BPDC) (SEGUN LEY NO. 4351 DEL 11/07/1969, LEY ORGANICA DEL B.P.D.C.).</t>
  </si>
  <si>
    <t>E-10602</t>
  </si>
  <si>
    <t>REASEGUROS</t>
  </si>
  <si>
    <t>JUNTA ADMINISTRATIVA DEL REGISTRO NACIONAL. (LEY IMPUESTO A LAS PERSONAS JURIDICAS NO. 9024 DEL 23/12/2011. PARA FINANCIAR LA ADECUADA</t>
  </si>
  <si>
    <t>Presupuesto Ejecutado (devengado)</t>
  </si>
  <si>
    <t xml:space="preserve">Presupuesto Utilizado </t>
  </si>
  <si>
    <t>(solicitado + comprometido + rec.mercancía + devengado)</t>
  </si>
  <si>
    <t>ENERO</t>
  </si>
  <si>
    <t>FEBRERO</t>
  </si>
  <si>
    <t>Ejercício: 2017</t>
  </si>
  <si>
    <t>MARZO</t>
  </si>
  <si>
    <t>ORGANIZACIÓN PARA LA COOPERACIÓN Y DESARROLLO ECO- NÓMICO (OCDE)(DECRETO EJECUTIVO No. 37983-COMEX-MP DEL 09/09/2013, PUBLICADO EN LA GACETA No. 207 D</t>
  </si>
  <si>
    <t>Cuadro resumen ejecución Titulo 214_2017</t>
  </si>
  <si>
    <t>ABRIL</t>
  </si>
  <si>
    <t>Gasto Real 
(C+D)</t>
  </si>
  <si>
    <t>% Gasto Real</t>
  </si>
  <si>
    <t>MAYO</t>
  </si>
  <si>
    <t>JUNIO</t>
  </si>
  <si>
    <t>E-90201</t>
  </si>
  <si>
    <t>SUMAS LIBRES SIN ASIGNACION PRESUPUESTARIA</t>
  </si>
  <si>
    <t>E-902</t>
  </si>
  <si>
    <t>SUMAS SIN ASIGNACION PRESUPUESTARIA</t>
  </si>
  <si>
    <t>E-9</t>
  </si>
  <si>
    <t>CUENTAS ESPECIALES</t>
  </si>
  <si>
    <t>Mes</t>
  </si>
  <si>
    <t>JULIO</t>
  </si>
  <si>
    <t>9 CUENTAS ESPECIALES</t>
  </si>
  <si>
    <t>Cuentas Especiales</t>
  </si>
  <si>
    <t>AGOSTO</t>
  </si>
  <si>
    <t>SETIEMBRE</t>
  </si>
  <si>
    <t>Ejecución Menor al 75%</t>
  </si>
  <si>
    <t>Disponible Mayor al 25%</t>
  </si>
  <si>
    <t>OCTUBRE</t>
  </si>
  <si>
    <t>NOVIEMBRE</t>
  </si>
  <si>
    <t xml:space="preserve">AL 31 DE DICIEMBRE 2017        </t>
  </si>
  <si>
    <t>DICIEMBRE</t>
  </si>
  <si>
    <t>0 REMUNERACIONES</t>
  </si>
  <si>
    <t>1 SERVICIOS</t>
  </si>
  <si>
    <t>2 MATERIALES Y SUMINIS</t>
  </si>
  <si>
    <t>5 BIENES DURADEROS</t>
  </si>
  <si>
    <t>6 TRANSF. CORRIENTES</t>
  </si>
  <si>
    <t>% Ejec</t>
  </si>
  <si>
    <t>% Disp</t>
  </si>
  <si>
    <t>% de Ejec</t>
  </si>
  <si>
    <t>% de Disp</t>
  </si>
  <si>
    <t>Devengo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</si>
</sst>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[$₡-140A]* #,##0.00_);_([$₡-140A]* \(#,##0.00\);_([$₡-140A]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Palatino Linotype"/>
      <family val="1"/>
    </font>
    <font>
      <sz val="11"/>
      <color theme="1"/>
      <name val="Palatino Linotype"/>
      <family val="1"/>
    </font>
    <font>
      <sz val="11"/>
      <color rgb="FF000000"/>
      <name val="Palatino Linotype"/>
      <family val="1"/>
    </font>
    <font>
      <b/>
      <sz val="11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1"/>
      <color theme="0"/>
      <name val="Palatino Linotype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9" tint="-0.249977111117893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6" fillId="4" borderId="0" xfId="0" applyFont="1" applyFill="1" applyAlignment="1">
      <alignment vertical="center"/>
    </xf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4" fontId="10" fillId="0" borderId="9" xfId="0" applyNumberFormat="1" applyFont="1" applyBorder="1"/>
    <xf numFmtId="0" fontId="0" fillId="0" borderId="0" xfId="0" applyAlignment="1">
      <alignment horizontal="center"/>
    </xf>
    <xf numFmtId="4" fontId="4" fillId="3" borderId="16" xfId="0" applyNumberFormat="1" applyFont="1" applyFill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4" fontId="6" fillId="4" borderId="0" xfId="0" applyNumberFormat="1" applyFont="1" applyFill="1" applyAlignment="1">
      <alignment vertical="center"/>
    </xf>
    <xf numFmtId="9" fontId="6" fillId="0" borderId="9" xfId="2" applyFont="1" applyBorder="1" applyAlignment="1">
      <alignment horizontal="center" vertical="center"/>
    </xf>
    <xf numFmtId="9" fontId="4" fillId="3" borderId="16" xfId="2" applyFont="1" applyFill="1" applyBorder="1" applyAlignment="1">
      <alignment horizontal="center" vertical="center"/>
    </xf>
    <xf numFmtId="43" fontId="3" fillId="0" borderId="0" xfId="1" applyFont="1"/>
    <xf numFmtId="0" fontId="11" fillId="0" borderId="9" xfId="0" applyFont="1" applyBorder="1"/>
    <xf numFmtId="4" fontId="4" fillId="0" borderId="9" xfId="0" applyNumberFormat="1" applyFont="1" applyBorder="1" applyAlignment="1">
      <alignment vertical="center"/>
    </xf>
    <xf numFmtId="0" fontId="2" fillId="0" borderId="0" xfId="0" applyFont="1"/>
    <xf numFmtId="0" fontId="0" fillId="0" borderId="0" xfId="0" applyFont="1"/>
    <xf numFmtId="43" fontId="0" fillId="0" borderId="0" xfId="1" applyFont="1"/>
    <xf numFmtId="0" fontId="2" fillId="0" borderId="9" xfId="0" applyFont="1" applyBorder="1" applyAlignment="1">
      <alignment horizontal="left"/>
    </xf>
    <xf numFmtId="43" fontId="0" fillId="0" borderId="9" xfId="1" applyFont="1" applyBorder="1" applyAlignment="1">
      <alignment horizontal="center" vertical="center"/>
    </xf>
    <xf numFmtId="10" fontId="0" fillId="0" borderId="9" xfId="2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6" fillId="0" borderId="9" xfId="2" applyNumberFormat="1" applyFont="1" applyBorder="1" applyAlignment="1">
      <alignment horizontal="center" vertical="center"/>
    </xf>
    <xf numFmtId="164" fontId="4" fillId="3" borderId="16" xfId="2" applyNumberFormat="1" applyFont="1" applyFill="1" applyBorder="1" applyAlignment="1">
      <alignment horizontal="center" vertical="center"/>
    </xf>
    <xf numFmtId="4" fontId="0" fillId="0" borderId="0" xfId="0" applyNumberFormat="1"/>
    <xf numFmtId="43" fontId="0" fillId="0" borderId="0" xfId="0" applyNumberFormat="1"/>
    <xf numFmtId="4" fontId="11" fillId="0" borderId="9" xfId="0" applyNumberFormat="1" applyFont="1" applyBorder="1"/>
    <xf numFmtId="0" fontId="8" fillId="0" borderId="0" xfId="0" applyFont="1" applyBorder="1" applyAlignment="1"/>
    <xf numFmtId="0" fontId="8" fillId="0" borderId="7" xfId="0" applyFont="1" applyBorder="1" applyAlignment="1"/>
    <xf numFmtId="0" fontId="9" fillId="0" borderId="0" xfId="0" applyFont="1" applyBorder="1" applyAlignment="1"/>
    <xf numFmtId="0" fontId="9" fillId="0" borderId="7" xfId="0" applyFont="1" applyBorder="1" applyAlignment="1"/>
    <xf numFmtId="0" fontId="8" fillId="0" borderId="0" xfId="0" applyFont="1" applyAlignment="1">
      <alignment horizontal="left" vertical="center"/>
    </xf>
    <xf numFmtId="43" fontId="10" fillId="0" borderId="9" xfId="1" applyFont="1" applyBorder="1"/>
    <xf numFmtId="4" fontId="10" fillId="0" borderId="9" xfId="0" applyNumberFormat="1" applyFont="1" applyBorder="1" applyAlignment="1">
      <alignment horizontal="center"/>
    </xf>
    <xf numFmtId="0" fontId="10" fillId="0" borderId="0" xfId="0" applyFont="1"/>
    <xf numFmtId="43" fontId="10" fillId="0" borderId="0" xfId="1" applyFont="1"/>
    <xf numFmtId="4" fontId="10" fillId="5" borderId="9" xfId="0" applyNumberFormat="1" applyFont="1" applyFill="1" applyBorder="1"/>
    <xf numFmtId="4" fontId="11" fillId="5" borderId="9" xfId="0" applyNumberFormat="1" applyFont="1" applyFill="1" applyBorder="1" applyAlignment="1">
      <alignment horizontal="center" vertical="center"/>
    </xf>
    <xf numFmtId="4" fontId="11" fillId="5" borderId="9" xfId="0" applyNumberFormat="1" applyFont="1" applyFill="1" applyBorder="1" applyAlignment="1">
      <alignment vertical="center" readingOrder="1"/>
    </xf>
    <xf numFmtId="10" fontId="0" fillId="0" borderId="0" xfId="0" applyNumberFormat="1"/>
    <xf numFmtId="10" fontId="10" fillId="0" borderId="9" xfId="2" applyNumberFormat="1" applyFont="1" applyBorder="1" applyAlignment="1">
      <alignment horizontal="center"/>
    </xf>
    <xf numFmtId="0" fontId="10" fillId="0" borderId="9" xfId="0" applyFont="1" applyFill="1" applyBorder="1" applyAlignment="1">
      <alignment vertical="center" wrapText="1" readingOrder="1"/>
    </xf>
    <xf numFmtId="10" fontId="6" fillId="0" borderId="9" xfId="2" applyNumberFormat="1" applyFont="1" applyBorder="1" applyAlignment="1">
      <alignment horizontal="center" vertical="center"/>
    </xf>
    <xf numFmtId="164" fontId="0" fillId="0" borderId="0" xfId="2" applyNumberFormat="1" applyFont="1"/>
    <xf numFmtId="43" fontId="14" fillId="6" borderId="9" xfId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left" vertical="center"/>
    </xf>
    <xf numFmtId="4" fontId="15" fillId="6" borderId="9" xfId="0" applyNumberFormat="1" applyFont="1" applyFill="1" applyBorder="1"/>
    <xf numFmtId="10" fontId="15" fillId="6" borderId="9" xfId="2" applyNumberFormat="1" applyFont="1" applyFill="1" applyBorder="1" applyAlignment="1">
      <alignment horizontal="center"/>
    </xf>
    <xf numFmtId="0" fontId="15" fillId="6" borderId="9" xfId="0" applyFont="1" applyFill="1" applyBorder="1" applyAlignment="1">
      <alignment vertical="center" wrapText="1" readingOrder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readingOrder="1"/>
    </xf>
    <xf numFmtId="0" fontId="13" fillId="6" borderId="0" xfId="0" applyFont="1" applyFill="1"/>
    <xf numFmtId="0" fontId="15" fillId="6" borderId="9" xfId="0" applyFont="1" applyFill="1" applyBorder="1" applyAlignment="1">
      <alignment horizontal="center" vertical="center" wrapText="1" readingOrder="1"/>
    </xf>
    <xf numFmtId="0" fontId="0" fillId="7" borderId="0" xfId="0" applyFill="1"/>
    <xf numFmtId="0" fontId="0" fillId="8" borderId="0" xfId="0" applyFill="1"/>
    <xf numFmtId="0" fontId="16" fillId="0" borderId="0" xfId="0" applyFont="1"/>
    <xf numFmtId="10" fontId="11" fillId="0" borderId="9" xfId="2" applyNumberFormat="1" applyFont="1" applyBorder="1"/>
    <xf numFmtId="10" fontId="10" fillId="0" borderId="9" xfId="2" applyNumberFormat="1" applyFont="1" applyBorder="1"/>
    <xf numFmtId="10" fontId="4" fillId="0" borderId="9" xfId="2" applyNumberFormat="1" applyFont="1" applyBorder="1" applyAlignment="1">
      <alignment horizontal="center" vertical="center"/>
    </xf>
    <xf numFmtId="10" fontId="4" fillId="3" borderId="16" xfId="2" applyNumberFormat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4" fontId="18" fillId="0" borderId="9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4" fontId="19" fillId="0" borderId="9" xfId="0" applyNumberFormat="1" applyFont="1" applyBorder="1" applyAlignment="1">
      <alignment vertical="center"/>
    </xf>
    <xf numFmtId="10" fontId="19" fillId="0" borderId="9" xfId="2" applyNumberFormat="1" applyFont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4" fontId="17" fillId="6" borderId="16" xfId="0" applyNumberFormat="1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0" fontId="0" fillId="0" borderId="13" xfId="0" applyFont="1" applyBorder="1" applyAlignment="1">
      <alignment vertical="center" wrapText="1"/>
    </xf>
    <xf numFmtId="164" fontId="19" fillId="0" borderId="9" xfId="2" applyNumberFormat="1" applyFont="1" applyBorder="1" applyAlignment="1">
      <alignment horizontal="center" vertical="center"/>
    </xf>
    <xf numFmtId="4" fontId="19" fillId="4" borderId="0" xfId="0" applyNumberFormat="1" applyFont="1" applyFill="1" applyAlignment="1">
      <alignment vertical="center"/>
    </xf>
    <xf numFmtId="4" fontId="0" fillId="0" borderId="0" xfId="0" applyNumberFormat="1" applyFont="1"/>
    <xf numFmtId="0" fontId="15" fillId="6" borderId="23" xfId="0" applyFont="1" applyFill="1" applyBorder="1" applyAlignment="1">
      <alignment vertical="center" wrapText="1" readingOrder="1"/>
    </xf>
    <xf numFmtId="40" fontId="0" fillId="0" borderId="4" xfId="0" applyNumberFormat="1" applyBorder="1"/>
    <xf numFmtId="40" fontId="10" fillId="0" borderId="9" xfId="0" applyNumberFormat="1" applyFont="1" applyBorder="1"/>
    <xf numFmtId="40" fontId="11" fillId="0" borderId="9" xfId="0" applyNumberFormat="1" applyFont="1" applyBorder="1"/>
    <xf numFmtId="40" fontId="0" fillId="0" borderId="0" xfId="0" applyNumberFormat="1"/>
    <xf numFmtId="40" fontId="16" fillId="0" borderId="0" xfId="0" applyNumberFormat="1" applyFont="1"/>
    <xf numFmtId="40" fontId="0" fillId="0" borderId="0" xfId="0" applyNumberFormat="1" applyFont="1"/>
    <xf numFmtId="164" fontId="19" fillId="0" borderId="9" xfId="2" applyNumberFormat="1" applyFont="1" applyBorder="1" applyAlignment="1">
      <alignment vertical="center"/>
    </xf>
    <xf numFmtId="164" fontId="15" fillId="6" borderId="9" xfId="2" applyNumberFormat="1" applyFont="1" applyFill="1" applyBorder="1"/>
    <xf numFmtId="49" fontId="10" fillId="0" borderId="9" xfId="0" applyNumberFormat="1" applyFont="1" applyBorder="1" applyAlignment="1">
      <alignment horizontal="right" vertical="center" wrapText="1" readingOrder="1"/>
    </xf>
    <xf numFmtId="0" fontId="13" fillId="0" borderId="0" xfId="0" applyFont="1"/>
    <xf numFmtId="0" fontId="13" fillId="5" borderId="0" xfId="0" applyFont="1" applyFill="1"/>
    <xf numFmtId="0" fontId="0" fillId="5" borderId="0" xfId="0" applyFill="1"/>
    <xf numFmtId="0" fontId="22" fillId="6" borderId="9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 wrapText="1"/>
    </xf>
    <xf numFmtId="0" fontId="15" fillId="6" borderId="25" xfId="0" applyNumberFormat="1" applyFont="1" applyFill="1" applyBorder="1" applyAlignment="1">
      <alignment horizontal="center" vertical="center" wrapText="1" readingOrder="1"/>
    </xf>
    <xf numFmtId="43" fontId="19" fillId="0" borderId="9" xfId="1" applyFont="1" applyBorder="1" applyAlignment="1">
      <alignment vertical="center"/>
    </xf>
    <xf numFmtId="43" fontId="15" fillId="6" borderId="9" xfId="1" applyFont="1" applyFill="1" applyBorder="1"/>
    <xf numFmtId="0" fontId="2" fillId="0" borderId="23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7" fillId="6" borderId="22" xfId="0" applyFont="1" applyFill="1" applyBorder="1" applyAlignment="1">
      <alignment horizontal="center" vertical="center"/>
    </xf>
    <xf numFmtId="0" fontId="25" fillId="0" borderId="9" xfId="0" applyNumberFormat="1" applyFont="1" applyBorder="1" applyAlignment="1">
      <alignment horizontal="left" vertical="top" wrapText="1"/>
    </xf>
    <xf numFmtId="0" fontId="26" fillId="0" borderId="9" xfId="0" applyNumberFormat="1" applyFont="1" applyBorder="1" applyAlignment="1">
      <alignment horizontal="left" vertical="top" wrapText="1"/>
    </xf>
    <xf numFmtId="0" fontId="10" fillId="0" borderId="9" xfId="0" applyNumberFormat="1" applyFont="1" applyBorder="1"/>
    <xf numFmtId="0" fontId="2" fillId="0" borderId="0" xfId="0" applyNumberFormat="1" applyFont="1"/>
    <xf numFmtId="0" fontId="11" fillId="0" borderId="9" xfId="0" applyNumberFormat="1" applyFont="1" applyBorder="1"/>
    <xf numFmtId="0" fontId="0" fillId="0" borderId="0" xfId="0" applyNumberFormat="1" applyFont="1"/>
    <xf numFmtId="0" fontId="0" fillId="0" borderId="0" xfId="0" applyNumberFormat="1"/>
    <xf numFmtId="0" fontId="7" fillId="3" borderId="15" xfId="0" applyNumberFormat="1" applyFont="1" applyFill="1" applyBorder="1" applyAlignment="1">
      <alignment horizontal="center" vertical="center"/>
    </xf>
    <xf numFmtId="0" fontId="27" fillId="0" borderId="0" xfId="0" applyFont="1"/>
    <xf numFmtId="43" fontId="18" fillId="0" borderId="9" xfId="1" applyFont="1" applyBorder="1" applyAlignment="1">
      <alignment vertical="center"/>
    </xf>
    <xf numFmtId="0" fontId="24" fillId="6" borderId="9" xfId="0" applyFont="1" applyFill="1" applyBorder="1" applyAlignment="1">
      <alignment horizontal="center" vertical="center" wrapText="1"/>
    </xf>
    <xf numFmtId="49" fontId="15" fillId="6" borderId="25" xfId="0" applyNumberFormat="1" applyFont="1" applyFill="1" applyBorder="1" applyAlignment="1">
      <alignment horizontal="center" vertical="center" wrapText="1" readingOrder="1"/>
    </xf>
    <xf numFmtId="0" fontId="10" fillId="0" borderId="24" xfId="0" applyFont="1" applyBorder="1"/>
    <xf numFmtId="0" fontId="5" fillId="0" borderId="9" xfId="0" applyFont="1" applyBorder="1" applyAlignment="1">
      <alignment vertical="center"/>
    </xf>
    <xf numFmtId="0" fontId="24" fillId="6" borderId="9" xfId="0" applyFont="1" applyFill="1" applyBorder="1" applyAlignment="1">
      <alignment horizontal="center" vertical="center"/>
    </xf>
    <xf numFmtId="4" fontId="24" fillId="6" borderId="9" xfId="0" applyNumberFormat="1" applyFont="1" applyFill="1" applyBorder="1" applyAlignment="1">
      <alignment vertical="center"/>
    </xf>
    <xf numFmtId="9" fontId="24" fillId="6" borderId="9" xfId="2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0" fillId="5" borderId="0" xfId="0" applyFont="1" applyFill="1"/>
    <xf numFmtId="0" fontId="16" fillId="5" borderId="0" xfId="0" applyFont="1" applyFill="1"/>
    <xf numFmtId="43" fontId="16" fillId="5" borderId="0" xfId="1" applyFont="1" applyFill="1"/>
    <xf numFmtId="4" fontId="19" fillId="0" borderId="9" xfId="2" applyNumberFormat="1" applyFont="1" applyBorder="1" applyAlignment="1">
      <alignment vertical="center"/>
    </xf>
    <xf numFmtId="10" fontId="0" fillId="0" borderId="0" xfId="2" applyNumberFormat="1" applyFont="1"/>
    <xf numFmtId="43" fontId="2" fillId="0" borderId="0" xfId="1" applyFont="1"/>
    <xf numFmtId="43" fontId="27" fillId="0" borderId="0" xfId="1" applyFont="1"/>
    <xf numFmtId="4" fontId="2" fillId="0" borderId="0" xfId="0" applyNumberFormat="1" applyFont="1"/>
    <xf numFmtId="9" fontId="0" fillId="0" borderId="0" xfId="2" applyFont="1"/>
    <xf numFmtId="4" fontId="10" fillId="0" borderId="9" xfId="0" applyNumberFormat="1" applyFont="1" applyFill="1" applyBorder="1"/>
    <xf numFmtId="4" fontId="11" fillId="0" borderId="9" xfId="0" applyNumberFormat="1" applyFont="1" applyFill="1" applyBorder="1"/>
    <xf numFmtId="15" fontId="13" fillId="5" borderId="0" xfId="0" applyNumberFormat="1" applyFont="1" applyFill="1"/>
    <xf numFmtId="49" fontId="13" fillId="5" borderId="0" xfId="0" applyNumberFormat="1" applyFont="1" applyFill="1"/>
    <xf numFmtId="164" fontId="13" fillId="5" borderId="0" xfId="1" applyNumberFormat="1" applyFont="1" applyFill="1"/>
    <xf numFmtId="43" fontId="13" fillId="5" borderId="0" xfId="1" applyFont="1" applyFill="1"/>
    <xf numFmtId="9" fontId="19" fillId="0" borderId="9" xfId="2" applyNumberFormat="1" applyFont="1" applyBorder="1" applyAlignment="1">
      <alignment horizontal="center" vertical="center"/>
    </xf>
    <xf numFmtId="164" fontId="15" fillId="6" borderId="9" xfId="2" applyNumberFormat="1" applyFont="1" applyFill="1" applyBorder="1" applyAlignment="1">
      <alignment horizontal="center"/>
    </xf>
    <xf numFmtId="9" fontId="15" fillId="6" borderId="9" xfId="2" applyNumberFormat="1" applyFont="1" applyFill="1" applyBorder="1" applyAlignment="1">
      <alignment horizontal="center"/>
    </xf>
    <xf numFmtId="164" fontId="11" fillId="0" borderId="9" xfId="2" applyNumberFormat="1" applyFont="1" applyBorder="1"/>
    <xf numFmtId="164" fontId="10" fillId="0" borderId="9" xfId="2" applyNumberFormat="1" applyFont="1" applyBorder="1"/>
    <xf numFmtId="9" fontId="18" fillId="0" borderId="9" xfId="2" applyNumberFormat="1" applyFont="1" applyBorder="1" applyAlignment="1">
      <alignment horizontal="center" vertical="center"/>
    </xf>
    <xf numFmtId="9" fontId="0" fillId="0" borderId="9" xfId="2" applyNumberFormat="1" applyFont="1" applyBorder="1" applyAlignment="1">
      <alignment horizontal="center"/>
    </xf>
    <xf numFmtId="0" fontId="24" fillId="6" borderId="9" xfId="0" applyFont="1" applyFill="1" applyBorder="1" applyAlignment="1">
      <alignment vertical="center" wrapText="1"/>
    </xf>
    <xf numFmtId="10" fontId="10" fillId="0" borderId="26" xfId="2" applyNumberFormat="1" applyFont="1" applyBorder="1" applyAlignment="1">
      <alignment horizontal="center"/>
    </xf>
    <xf numFmtId="4" fontId="15" fillId="6" borderId="28" xfId="0" applyNumberFormat="1" applyFont="1" applyFill="1" applyBorder="1" applyAlignment="1">
      <alignment horizontal="center" vertical="center" wrapText="1"/>
    </xf>
    <xf numFmtId="4" fontId="15" fillId="6" borderId="26" xfId="0" applyNumberFormat="1" applyFont="1" applyFill="1" applyBorder="1" applyAlignment="1">
      <alignment horizontal="center" vertical="center" wrapText="1"/>
    </xf>
    <xf numFmtId="164" fontId="24" fillId="6" borderId="9" xfId="2" applyNumberFormat="1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vertical="center"/>
    </xf>
    <xf numFmtId="0" fontId="17" fillId="9" borderId="23" xfId="0" applyFont="1" applyFill="1" applyBorder="1" applyAlignment="1">
      <alignment vertical="center"/>
    </xf>
    <xf numFmtId="4" fontId="17" fillId="9" borderId="9" xfId="0" applyNumberFormat="1" applyFont="1" applyFill="1" applyBorder="1" applyAlignment="1">
      <alignment vertical="center"/>
    </xf>
    <xf numFmtId="9" fontId="17" fillId="9" borderId="9" xfId="2" applyNumberFormat="1" applyFont="1" applyFill="1" applyBorder="1" applyAlignment="1">
      <alignment horizontal="center" vertical="center"/>
    </xf>
    <xf numFmtId="43" fontId="17" fillId="9" borderId="9" xfId="1" applyFont="1" applyFill="1" applyBorder="1" applyAlignment="1">
      <alignment vertical="center"/>
    </xf>
    <xf numFmtId="40" fontId="17" fillId="9" borderId="9" xfId="0" applyNumberFormat="1" applyFont="1" applyFill="1" applyBorder="1" applyAlignment="1">
      <alignment vertical="center"/>
    </xf>
    <xf numFmtId="0" fontId="24" fillId="6" borderId="9" xfId="0" applyFont="1" applyFill="1" applyBorder="1" applyAlignment="1">
      <alignment horizontal="center" vertical="center" wrapText="1"/>
    </xf>
    <xf numFmtId="9" fontId="6" fillId="0" borderId="9" xfId="2" applyNumberFormat="1" applyFont="1" applyBorder="1" applyAlignment="1">
      <alignment horizontal="center" vertical="center"/>
    </xf>
    <xf numFmtId="9" fontId="24" fillId="6" borderId="9" xfId="2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43" fontId="19" fillId="0" borderId="28" xfId="1" applyFont="1" applyBorder="1" applyAlignment="1">
      <alignment vertical="center"/>
    </xf>
    <xf numFmtId="9" fontId="17" fillId="6" borderId="16" xfId="2" applyFont="1" applyFill="1" applyBorder="1" applyAlignment="1">
      <alignment horizontal="center" vertical="center"/>
    </xf>
    <xf numFmtId="9" fontId="0" fillId="0" borderId="0" xfId="2" applyNumberFormat="1" applyFont="1"/>
    <xf numFmtId="0" fontId="24" fillId="6" borderId="9" xfId="0" applyFont="1" applyFill="1" applyBorder="1" applyAlignment="1">
      <alignment horizontal="center" vertical="center" wrapText="1"/>
    </xf>
    <xf numFmtId="0" fontId="24" fillId="6" borderId="28" xfId="0" applyFont="1" applyFill="1" applyBorder="1" applyAlignment="1">
      <alignment horizontal="center" vertical="center" wrapText="1"/>
    </xf>
    <xf numFmtId="0" fontId="28" fillId="10" borderId="9" xfId="0" applyFont="1" applyFill="1" applyBorder="1"/>
    <xf numFmtId="0" fontId="28" fillId="0" borderId="0" xfId="0" applyFont="1"/>
    <xf numFmtId="4" fontId="28" fillId="0" borderId="0" xfId="0" applyNumberFormat="1" applyFont="1" applyAlignment="1">
      <alignment horizontal="right"/>
    </xf>
    <xf numFmtId="0" fontId="28" fillId="11" borderId="9" xfId="0" applyFont="1" applyFill="1" applyBorder="1"/>
    <xf numFmtId="4" fontId="28" fillId="11" borderId="9" xfId="0" applyNumberFormat="1" applyFont="1" applyFill="1" applyBorder="1" applyAlignment="1">
      <alignment horizontal="right"/>
    </xf>
    <xf numFmtId="0" fontId="28" fillId="12" borderId="9" xfId="0" applyFont="1" applyFill="1" applyBorder="1"/>
    <xf numFmtId="4" fontId="28" fillId="12" borderId="9" xfId="0" applyNumberFormat="1" applyFont="1" applyFill="1" applyBorder="1" applyAlignment="1">
      <alignment horizontal="right"/>
    </xf>
    <xf numFmtId="0" fontId="0" fillId="0" borderId="13" xfId="0" applyFont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/>
    </xf>
    <xf numFmtId="9" fontId="10" fillId="0" borderId="9" xfId="2" applyNumberFormat="1" applyFont="1" applyBorder="1" applyAlignment="1">
      <alignment horizontal="center"/>
    </xf>
    <xf numFmtId="43" fontId="6" fillId="0" borderId="9" xfId="1" applyFont="1" applyBorder="1" applyAlignment="1">
      <alignment vertical="center"/>
    </xf>
    <xf numFmtId="43" fontId="24" fillId="6" borderId="9" xfId="1" applyFont="1" applyFill="1" applyBorder="1" applyAlignment="1">
      <alignment vertical="center"/>
    </xf>
    <xf numFmtId="43" fontId="6" fillId="0" borderId="9" xfId="1" applyFont="1" applyBorder="1" applyAlignment="1">
      <alignment horizontal="center" vertical="center"/>
    </xf>
    <xf numFmtId="9" fontId="0" fillId="0" borderId="9" xfId="2" applyFont="1" applyBorder="1" applyAlignment="1">
      <alignment horizontal="center"/>
    </xf>
    <xf numFmtId="165" fontId="0" fillId="0" borderId="9" xfId="1" applyNumberFormat="1" applyFont="1" applyBorder="1"/>
    <xf numFmtId="0" fontId="0" fillId="0" borderId="0" xfId="0" applyFill="1"/>
    <xf numFmtId="0" fontId="23" fillId="0" borderId="25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 applyFill="1" applyBorder="1"/>
    <xf numFmtId="0" fontId="0" fillId="0" borderId="0" xfId="0" applyFill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4" fillId="6" borderId="9" xfId="0" applyFont="1" applyFill="1" applyBorder="1" applyAlignment="1">
      <alignment horizontal="center" vertical="center" wrapText="1"/>
    </xf>
    <xf numFmtId="0" fontId="24" fillId="6" borderId="28" xfId="0" applyFont="1" applyFill="1" applyBorder="1" applyAlignment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40" fontId="17" fillId="6" borderId="11" xfId="0" applyNumberFormat="1" applyFont="1" applyFill="1" applyBorder="1" applyAlignment="1">
      <alignment horizontal="center" vertical="center" wrapText="1"/>
    </xf>
    <xf numFmtId="40" fontId="17" fillId="6" borderId="9" xfId="0" applyNumberFormat="1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top" wrapText="1" readingOrder="1"/>
    </xf>
    <xf numFmtId="0" fontId="10" fillId="0" borderId="23" xfId="0" applyFont="1" applyBorder="1" applyAlignment="1">
      <alignment horizontal="left" vertical="top" wrapText="1" readingOrder="1"/>
    </xf>
    <xf numFmtId="0" fontId="10" fillId="0" borderId="24" xfId="0" applyFont="1" applyBorder="1" applyAlignment="1">
      <alignment horizontal="center" vertical="top" wrapText="1" readingOrder="1"/>
    </xf>
    <xf numFmtId="0" fontId="10" fillId="0" borderId="23" xfId="0" applyFont="1" applyBorder="1" applyAlignment="1">
      <alignment horizontal="center" vertical="top" wrapText="1" readingOrder="1"/>
    </xf>
    <xf numFmtId="0" fontId="15" fillId="6" borderId="29" xfId="0" applyFont="1" applyFill="1" applyBorder="1" applyAlignment="1">
      <alignment horizontal="center" vertical="center" wrapText="1" readingOrder="1"/>
    </xf>
    <xf numFmtId="0" fontId="15" fillId="6" borderId="30" xfId="0" applyFont="1" applyFill="1" applyBorder="1" applyAlignment="1">
      <alignment horizontal="center" vertical="center" wrapText="1" readingOrder="1"/>
    </xf>
    <xf numFmtId="4" fontId="15" fillId="6" borderId="31" xfId="0" applyNumberFormat="1" applyFont="1" applyFill="1" applyBorder="1" applyAlignment="1">
      <alignment horizontal="center" vertical="center" wrapText="1"/>
    </xf>
    <xf numFmtId="4" fontId="15" fillId="6" borderId="32" xfId="0" applyNumberFormat="1" applyFont="1" applyFill="1" applyBorder="1" applyAlignment="1">
      <alignment horizontal="center" vertical="center" wrapText="1"/>
    </xf>
    <xf numFmtId="49" fontId="15" fillId="6" borderId="24" xfId="0" applyNumberFormat="1" applyFont="1" applyFill="1" applyBorder="1" applyAlignment="1">
      <alignment horizontal="center" vertical="center" wrapText="1" readingOrder="1"/>
    </xf>
    <xf numFmtId="49" fontId="15" fillId="6" borderId="23" xfId="0" applyNumberFormat="1" applyFont="1" applyFill="1" applyBorder="1" applyAlignment="1">
      <alignment horizontal="center" vertical="center" wrapText="1" readingOrder="1"/>
    </xf>
    <xf numFmtId="0" fontId="15" fillId="6" borderId="24" xfId="0" applyNumberFormat="1" applyFont="1" applyFill="1" applyBorder="1" applyAlignment="1">
      <alignment horizontal="center" vertical="center" wrapText="1" readingOrder="1"/>
    </xf>
    <xf numFmtId="0" fontId="15" fillId="6" borderId="23" xfId="0" applyNumberFormat="1" applyFont="1" applyFill="1" applyBorder="1" applyAlignment="1">
      <alignment horizontal="center" vertical="center" wrapText="1" readingOrder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3" fillId="6" borderId="25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 readingOrder="1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541225729886639E-2"/>
          <c:y val="9.5364033797205122E-2"/>
          <c:w val="0.88483325877790919"/>
          <c:h val="0.612968086392709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4.8917101014115075E-2"/>
                  <c:y val="-4.156314985238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785390904960901"/>
                  <c:y val="-3.194820328607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95044229013358E-2"/>
                  <c:y val="-2.5307142223453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942661297643771E-3"/>
                  <c:y val="-3.7415740767065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021715469014919E-2"/>
                  <c:y val="-1.3761328047795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Estado'!$B$19:$B$23</c:f>
              <c:strCache>
                <c:ptCount val="5"/>
                <c:pt idx="0">
                  <c:v>Remuneraciones + Cargas Patronales</c:v>
                </c:pt>
                <c:pt idx="1">
                  <c:v>Gasto Operativo</c:v>
                </c:pt>
                <c:pt idx="2">
                  <c:v>Inversión publica</c:v>
                </c:pt>
                <c:pt idx="3">
                  <c:v>Transferencias Corrientes</c:v>
                </c:pt>
                <c:pt idx="4">
                  <c:v>Transferencias de Capital</c:v>
                </c:pt>
              </c:strCache>
            </c:strRef>
          </c:cat>
          <c:val>
            <c:numRef>
              <c:f>'Resumen Estado'!$I$19:$I$23</c:f>
              <c:numCache>
                <c:formatCode>0%</c:formatCode>
                <c:ptCount val="5"/>
                <c:pt idx="0">
                  <c:v>0.94862193137578843</c:v>
                </c:pt>
                <c:pt idx="1">
                  <c:v>0.73672325038814057</c:v>
                </c:pt>
                <c:pt idx="2">
                  <c:v>0.53300723906796643</c:v>
                </c:pt>
                <c:pt idx="3">
                  <c:v>0.85729409570851389</c:v>
                </c:pt>
                <c:pt idx="4">
                  <c:v>0.41104299813816297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846576793079717E-2"/>
          <c:y val="0.77529940245724582"/>
          <c:w val="0.77541883055053373"/>
          <c:h val="0.201801403281857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R"/>
              <a:t>CONSOLIDADO</a:t>
            </a:r>
          </a:p>
          <a:p>
            <a:pPr>
              <a:defRPr/>
            </a:pPr>
            <a:r>
              <a:rPr lang="es-CR"/>
              <a:t>Devengado- Disponible Presupuestario</a:t>
            </a:r>
          </a:p>
        </c:rich>
      </c:tx>
      <c:layout>
        <c:manualLayout>
          <c:xMode val="edge"/>
          <c:yMode val="edge"/>
          <c:x val="0.17697849266167934"/>
          <c:y val="2.5127644758690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'COMPORT. RESUMEN'!$K$2</c:f>
              <c:strCache>
                <c:ptCount val="1"/>
                <c:pt idx="0">
                  <c:v>Devengado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'COMPORT. RESUMEN'!$L$4:$L$9</c:f>
              <c:numCache>
                <c:formatCode>0.00%</c:formatCode>
                <c:ptCount val="6"/>
                <c:pt idx="0">
                  <c:v>0.94908049609891809</c:v>
                </c:pt>
                <c:pt idx="1">
                  <c:v>0.10341417292621788</c:v>
                </c:pt>
                <c:pt idx="2">
                  <c:v>0.14509385200771852</c:v>
                </c:pt>
                <c:pt idx="3">
                  <c:v>3.3487469114380629E-2</c:v>
                </c:pt>
                <c:pt idx="4">
                  <c:v>3.5916012356546081E-2</c:v>
                </c:pt>
                <c:pt idx="5">
                  <c:v>4.7941194707227554E-2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tx>
            <c:strRef>
              <c:f>'COMPORT. RESUMEN'!$O$2</c:f>
              <c:strCache>
                <c:ptCount val="1"/>
                <c:pt idx="0">
                  <c:v>Disp. Pre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'COMPORT. RESUMEN'!$P$4:$P$9</c:f>
              <c:numCache>
                <c:formatCode>0.00%</c:formatCode>
                <c:ptCount val="6"/>
                <c:pt idx="0">
                  <c:v>5.0896699373953198E-2</c:v>
                </c:pt>
                <c:pt idx="1">
                  <c:v>1.2789184340220097E-2</c:v>
                </c:pt>
                <c:pt idx="2">
                  <c:v>2.8209855476985745E-2</c:v>
                </c:pt>
                <c:pt idx="3">
                  <c:v>1.6562282800530997E-2</c:v>
                </c:pt>
                <c:pt idx="4">
                  <c:v>4.2718749420939638E-3</c:v>
                </c:pt>
                <c:pt idx="5">
                  <c:v>6.869184593421207E-2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23613968"/>
        <c:axId val="223614528"/>
      </c:barChart>
      <c:catAx>
        <c:axId val="22361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3614528"/>
        <c:crosses val="autoZero"/>
        <c:auto val="1"/>
        <c:lblAlgn val="ctr"/>
        <c:lblOffset val="100"/>
        <c:noMultiLvlLbl val="0"/>
      </c:catAx>
      <c:valAx>
        <c:axId val="22361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361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Presupuesto Utilizado,</a:t>
            </a:r>
            <a:r>
              <a:rPr lang="en-US" baseline="0"/>
              <a:t> </a:t>
            </a:r>
            <a:r>
              <a:rPr lang="en-US"/>
              <a:t>Ejecutado Y</a:t>
            </a:r>
            <a:r>
              <a:rPr lang="en-US" baseline="0"/>
              <a:t> Disponible</a:t>
            </a:r>
            <a:r>
              <a:rPr lang="en-US"/>
              <a:t> 2017</a:t>
            </a:r>
          </a:p>
          <a:p>
            <a:pPr>
              <a:defRPr/>
            </a:pPr>
            <a:r>
              <a:rPr lang="en-US"/>
              <a:t>Consolidado</a:t>
            </a:r>
            <a:endParaRPr lang="es-C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MENSUAL!$C$2</c:f>
              <c:strCache>
                <c:ptCount val="1"/>
                <c:pt idx="0">
                  <c:v>Presupuesto Ejecutado (devengado)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MENSUAL!$A$4:$A$16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MENSUAL!$C$4:$C$16</c:f>
              <c:numCache>
                <c:formatCode>0.00%</c:formatCode>
                <c:ptCount val="12"/>
                <c:pt idx="0">
                  <c:v>8.2190393112421267E-2</c:v>
                </c:pt>
                <c:pt idx="1">
                  <c:v>0.14101762177731525</c:v>
                </c:pt>
                <c:pt idx="2">
                  <c:v>0.19470403433885611</c:v>
                </c:pt>
                <c:pt idx="3">
                  <c:v>0.24601450935196334</c:v>
                </c:pt>
                <c:pt idx="4">
                  <c:v>0.30751943518008162</c:v>
                </c:pt>
                <c:pt idx="5">
                  <c:v>0.3641024464756184</c:v>
                </c:pt>
                <c:pt idx="6">
                  <c:v>0.43143235339336805</c:v>
                </c:pt>
                <c:pt idx="7">
                  <c:v>0.47006766575552933</c:v>
                </c:pt>
                <c:pt idx="8">
                  <c:v>0.54584608316851435</c:v>
                </c:pt>
                <c:pt idx="9">
                  <c:v>0.60343107931138351</c:v>
                </c:pt>
                <c:pt idx="10">
                  <c:v>0.66972591611791654</c:v>
                </c:pt>
                <c:pt idx="11">
                  <c:v>0.83669964003580788</c:v>
                </c:pt>
              </c:numCache>
            </c:numRef>
          </c:val>
        </c:ser>
        <c:ser>
          <c:idx val="1"/>
          <c:order val="1"/>
          <c:tx>
            <c:strRef>
              <c:f>MENSUAL!$B$2:$B$3</c:f>
              <c:strCache>
                <c:ptCount val="2"/>
                <c:pt idx="0">
                  <c:v>Presupuesto Utilizado </c:v>
                </c:pt>
                <c:pt idx="1">
                  <c:v>(solicitado + comprometido + rec.mercancía + devengado)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MENSUAL!$B$4:$B$16</c:f>
              <c:numCache>
                <c:formatCode>0.00%</c:formatCode>
                <c:ptCount val="12"/>
                <c:pt idx="0">
                  <c:v>0.20883482226903555</c:v>
                </c:pt>
                <c:pt idx="1">
                  <c:v>0.24792269479876602</c:v>
                </c:pt>
                <c:pt idx="2">
                  <c:v>0.29262831580600041</c:v>
                </c:pt>
                <c:pt idx="3">
                  <c:v>0.37594306111472531</c:v>
                </c:pt>
                <c:pt idx="4">
                  <c:v>0.4211359015716406</c:v>
                </c:pt>
                <c:pt idx="5">
                  <c:v>0.4764357919188893</c:v>
                </c:pt>
                <c:pt idx="6">
                  <c:v>0.54786365239430357</c:v>
                </c:pt>
                <c:pt idx="7">
                  <c:v>0.56749307463740406</c:v>
                </c:pt>
                <c:pt idx="8">
                  <c:v>0.6327429578381395</c:v>
                </c:pt>
                <c:pt idx="9">
                  <c:v>0.69201944407154836</c:v>
                </c:pt>
                <c:pt idx="10">
                  <c:v>0.79803638386694409</c:v>
                </c:pt>
                <c:pt idx="11">
                  <c:v>0.87635909392581546</c:v>
                </c:pt>
              </c:numCache>
            </c:numRef>
          </c:val>
        </c:ser>
        <c:ser>
          <c:idx val="2"/>
          <c:order val="2"/>
          <c:tx>
            <c:strRef>
              <c:f>MENSUAL!$D$2</c:f>
              <c:strCache>
                <c:ptCount val="1"/>
                <c:pt idx="0">
                  <c:v>Disponible Presupuestario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MENSUAL!$D$4:$D$16</c:f>
              <c:numCache>
                <c:formatCode>0.00%</c:formatCode>
                <c:ptCount val="12"/>
                <c:pt idx="0">
                  <c:v>0.79116517773096451</c:v>
                </c:pt>
                <c:pt idx="1">
                  <c:v>0.75207730520123384</c:v>
                </c:pt>
                <c:pt idx="2">
                  <c:v>0.70737168419399965</c:v>
                </c:pt>
                <c:pt idx="3">
                  <c:v>0.6240569388852748</c:v>
                </c:pt>
                <c:pt idx="4">
                  <c:v>0.5788640984283594</c:v>
                </c:pt>
                <c:pt idx="5">
                  <c:v>0.52356420808111082</c:v>
                </c:pt>
                <c:pt idx="6">
                  <c:v>0.45213634760569643</c:v>
                </c:pt>
                <c:pt idx="7">
                  <c:v>0.432506925362596</c:v>
                </c:pt>
                <c:pt idx="8">
                  <c:v>0.3672570421618605</c:v>
                </c:pt>
                <c:pt idx="9">
                  <c:v>0.30798055592845169</c:v>
                </c:pt>
                <c:pt idx="10">
                  <c:v>0.20196361613305591</c:v>
                </c:pt>
                <c:pt idx="11">
                  <c:v>0.1236409060741844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3619008"/>
        <c:axId val="223619568"/>
      </c:barChart>
      <c:catAx>
        <c:axId val="22361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3619568"/>
        <c:crosses val="autoZero"/>
        <c:auto val="1"/>
        <c:lblAlgn val="ctr"/>
        <c:lblOffset val="100"/>
        <c:noMultiLvlLbl val="0"/>
      </c:catAx>
      <c:valAx>
        <c:axId val="2236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361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096828039631135E-3"/>
          <c:y val="5.1288230598760101E-2"/>
          <c:w val="0.97235045917101015"/>
          <c:h val="0.92667885659492966"/>
        </c:manualLayout>
      </c:layout>
      <c:pie3DChart>
        <c:varyColors val="1"/>
        <c:ser>
          <c:idx val="0"/>
          <c:order val="0"/>
          <c:tx>
            <c:strRef>
              <c:f>'ANALISIS POR PROG'!$C$5</c:f>
              <c:strCache>
                <c:ptCount val="1"/>
                <c:pt idx="0">
                  <c:v>Apropiación Actual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9.3869387495592524E-2"/>
                  <c:y val="-7.9035108523514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8748686588208604E-2"/>
                  <c:y val="-8.48319549533697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6070138942708965E-2"/>
                  <c:y val="-4.38766012031816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520810031983145E-2"/>
                  <c:y val="-7.41494464803494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'[7]Analisis Programas'!$B$6:$B$10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'ANALISIS POR PROG'!$D$6:$D$10</c:f>
              <c:numCache>
                <c:formatCode>0%</c:formatCode>
                <c:ptCount val="5"/>
                <c:pt idx="0">
                  <c:v>2.1267084231978827E-2</c:v>
                </c:pt>
                <c:pt idx="1">
                  <c:v>8.6913793349580413E-3</c:v>
                </c:pt>
                <c:pt idx="2">
                  <c:v>7.4254667540036137E-2</c:v>
                </c:pt>
                <c:pt idx="3">
                  <c:v>0.79653150030228326</c:v>
                </c:pt>
                <c:pt idx="4">
                  <c:v>9.925536859074377E-2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'ANALISIS POR PROG'!$L$5</c:f>
              <c:strCache>
                <c:ptCount val="1"/>
                <c:pt idx="0">
                  <c:v>Devengado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'ANALISIS POR PROG'!$B$6:$B$10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'ANALISIS POR PROG'!$M$6:$M$10</c:f>
              <c:numCache>
                <c:formatCode>0%</c:formatCode>
                <c:ptCount val="5"/>
                <c:pt idx="0">
                  <c:v>0.89184335500275358</c:v>
                </c:pt>
                <c:pt idx="1">
                  <c:v>0.85706313236407194</c:v>
                </c:pt>
                <c:pt idx="2">
                  <c:v>0.86577688200205982</c:v>
                </c:pt>
                <c:pt idx="3">
                  <c:v>0.82122340093899293</c:v>
                </c:pt>
                <c:pt idx="4">
                  <c:v>0.92554579787461322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COMPROMISO</a:t>
            </a:r>
          </a:p>
        </c:rich>
      </c:tx>
      <c:layout>
        <c:manualLayout>
          <c:xMode val="edge"/>
          <c:yMode val="edge"/>
          <c:x val="0.34262178004186283"/>
          <c:y val="3.28503344163123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1842949996391147E-2"/>
          <c:y val="0.11687097893239864"/>
          <c:w val="0.96907738536170274"/>
          <c:h val="0.8523913009578088"/>
        </c:manualLayout>
      </c:layout>
      <c:pie3DChart>
        <c:varyColors val="1"/>
        <c:ser>
          <c:idx val="0"/>
          <c:order val="0"/>
          <c:tx>
            <c:strRef>
              <c:f>'ANALISIS POR PROG'!$G$5</c:f>
              <c:strCache>
                <c:ptCount val="1"/>
                <c:pt idx="0">
                  <c:v>Compromiso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'[7]Analisis Programas'!$B$6:$B$10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'ANALISIS POR PROG'!$I$6:$I$10</c:f>
              <c:numCache>
                <c:formatCode>0.0%</c:formatCode>
                <c:ptCount val="5"/>
                <c:pt idx="0">
                  <c:v>1.0768188029267406E-2</c:v>
                </c:pt>
                <c:pt idx="1">
                  <c:v>9.5280383456938129E-3</c:v>
                </c:pt>
                <c:pt idx="2">
                  <c:v>1.3544520544394794E-2</c:v>
                </c:pt>
                <c:pt idx="3">
                  <c:v>4.6669533182580616E-2</c:v>
                </c:pt>
                <c:pt idx="4">
                  <c:v>9.6203893105148864E-4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accent1">
            <a:lumMod val="5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DISPONIBLE</a:t>
            </a:r>
          </a:p>
        </c:rich>
      </c:tx>
      <c:layout>
        <c:manualLayout>
          <c:xMode val="edge"/>
          <c:yMode val="edge"/>
          <c:x val="0.39111169655218797"/>
          <c:y val="1.997824159434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'ANALISIS POR PROG'!$N$5</c:f>
              <c:strCache>
                <c:ptCount val="1"/>
                <c:pt idx="0">
                  <c:v>Disponible Presupuestario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'[7]Analisis Programas'!$B$6:$B$10</c:f>
              <c:strCache>
                <c:ptCount val="5"/>
                <c:pt idx="0">
                  <c:v>PROG 779</c:v>
                </c:pt>
                <c:pt idx="1">
                  <c:v>PROG 780</c:v>
                </c:pt>
                <c:pt idx="2">
                  <c:v>PROG 781</c:v>
                </c:pt>
                <c:pt idx="3">
                  <c:v>PROG 783</c:v>
                </c:pt>
                <c:pt idx="4">
                  <c:v>PROG 784</c:v>
                </c:pt>
              </c:strCache>
            </c:strRef>
          </c:cat>
          <c:val>
            <c:numRef>
              <c:f>'ANALISIS POR PROG'!$O$6:$O$10</c:f>
              <c:numCache>
                <c:formatCode>0%</c:formatCode>
                <c:ptCount val="5"/>
                <c:pt idx="0">
                  <c:v>9.7086967775650693E-2</c:v>
                </c:pt>
                <c:pt idx="1">
                  <c:v>0.1325447118990937</c:v>
                </c:pt>
                <c:pt idx="2">
                  <c:v>0.12003405596487408</c:v>
                </c:pt>
                <c:pt idx="3">
                  <c:v>0.13083797976304223</c:v>
                </c:pt>
                <c:pt idx="4">
                  <c:v>7.3492163194335228E-2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EJECUCIÓN POR PROGRAMA</a:t>
            </a:r>
          </a:p>
        </c:rich>
      </c:tx>
      <c:layout>
        <c:manualLayout>
          <c:xMode val="edge"/>
          <c:yMode val="edge"/>
          <c:x val="0.21160709078031914"/>
          <c:y val="2.80112044817927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'Ejecucion por Programa'!$AG$6</c:f>
              <c:strCache>
                <c:ptCount val="1"/>
                <c:pt idx="0">
                  <c:v>PROG 779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4"/>
              <c:layout>
                <c:manualLayout>
                  <c:x val="6.5816102067751871E-3"/>
                  <c:y val="7.76485692720655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b" anchorCtr="0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Programa'!$AH$6:$AV$6</c:f>
              <c:numCache>
                <c:formatCode>0.0%</c:formatCode>
                <c:ptCount val="15"/>
                <c:pt idx="0">
                  <c:v>0</c:v>
                </c:pt>
                <c:pt idx="1">
                  <c:v>7.0419120509668698E-2</c:v>
                </c:pt>
                <c:pt idx="2">
                  <c:v>0.1051920636379533</c:v>
                </c:pt>
                <c:pt idx="3">
                  <c:v>0.16634194867651356</c:v>
                </c:pt>
                <c:pt idx="4">
                  <c:v>0.16634194867651356</c:v>
                </c:pt>
                <c:pt idx="5">
                  <c:v>0.21380633958732984</c:v>
                </c:pt>
                <c:pt idx="6">
                  <c:v>0.26041464032126493</c:v>
                </c:pt>
                <c:pt idx="7">
                  <c:v>0.30336542002214928</c:v>
                </c:pt>
                <c:pt idx="8">
                  <c:v>0.35385834581634595</c:v>
                </c:pt>
                <c:pt idx="9">
                  <c:v>0.52629880850785726</c:v>
                </c:pt>
                <c:pt idx="10">
                  <c:v>0.54138361692075698</c:v>
                </c:pt>
                <c:pt idx="11">
                  <c:v>0.59700785352283037</c:v>
                </c:pt>
                <c:pt idx="12">
                  <c:v>0.70674797079911356</c:v>
                </c:pt>
                <c:pt idx="13">
                  <c:v>0.76869545581451726</c:v>
                </c:pt>
                <c:pt idx="14">
                  <c:v>0.89184335500275358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'Ejecucion por Programa'!$AG$7</c:f>
              <c:strCache>
                <c:ptCount val="1"/>
                <c:pt idx="0">
                  <c:v>PROG 780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2.4539877300613498E-2"/>
                  <c:y val="8.528784648187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649122807017545E-2"/>
                  <c:y val="-1.8691584200067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0175438596491229E-3"/>
                  <c:y val="-1.869158420006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480066996972884E-2"/>
                  <c:y val="-3.894080041680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939393939393943E-2"/>
                      <c:h val="7.7834994521305337E-2"/>
                    </c:manualLayout>
                  </c15:layout>
                </c:ext>
              </c:extLst>
            </c:dLbl>
            <c:dLbl>
              <c:idx val="14"/>
              <c:layout>
                <c:manualLayout>
                  <c:x val="1.7014848506892912E-2"/>
                  <c:y val="7.1651072766926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Programa'!$AH$7:$AV$7</c:f>
              <c:numCache>
                <c:formatCode>0.0%</c:formatCode>
                <c:ptCount val="15"/>
                <c:pt idx="0">
                  <c:v>0</c:v>
                </c:pt>
                <c:pt idx="1">
                  <c:v>9.847306681403302E-2</c:v>
                </c:pt>
                <c:pt idx="2">
                  <c:v>0.14412050791800232</c:v>
                </c:pt>
                <c:pt idx="3">
                  <c:v>0.22521648410063372</c:v>
                </c:pt>
                <c:pt idx="4">
                  <c:v>0.22521648410063372</c:v>
                </c:pt>
                <c:pt idx="5">
                  <c:v>0.28187128888614627</c:v>
                </c:pt>
                <c:pt idx="6">
                  <c:v>0.33919628395495699</c:v>
                </c:pt>
                <c:pt idx="7">
                  <c:v>0.39732708495640168</c:v>
                </c:pt>
                <c:pt idx="8">
                  <c:v>0.46004519725307963</c:v>
                </c:pt>
                <c:pt idx="9">
                  <c:v>0.5127507660757088</c:v>
                </c:pt>
                <c:pt idx="10">
                  <c:v>0.54261820773149716</c:v>
                </c:pt>
                <c:pt idx="11">
                  <c:v>0.60221737638396511</c:v>
                </c:pt>
                <c:pt idx="12">
                  <c:v>0.67315665049193119</c:v>
                </c:pt>
                <c:pt idx="13">
                  <c:v>0.74984207286196081</c:v>
                </c:pt>
                <c:pt idx="14">
                  <c:v>0.85706313236407194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'Ejecucion por Programa'!$AG$8</c:f>
              <c:strCache>
                <c:ptCount val="1"/>
                <c:pt idx="0">
                  <c:v>PROG 781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0"/>
                  <c:y val="-3.5523978685612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912280701754438E-2"/>
                  <c:y val="-1.74521015890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4210526315789472E-3"/>
                  <c:y val="-9.345792100033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489283759316181E-3"/>
                  <c:y val="-4.6728960500169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2.492211226675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0562289480642899E-2"/>
                  <c:y val="-6.891773519814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Programa'!$AH$8:$AV$8</c:f>
              <c:numCache>
                <c:formatCode>0.0%</c:formatCode>
                <c:ptCount val="15"/>
                <c:pt idx="0">
                  <c:v>0</c:v>
                </c:pt>
                <c:pt idx="1">
                  <c:v>0.1034676705007908</c:v>
                </c:pt>
                <c:pt idx="2">
                  <c:v>0.14685775682797078</c:v>
                </c:pt>
                <c:pt idx="3">
                  <c:v>0.23832923646647955</c:v>
                </c:pt>
                <c:pt idx="4">
                  <c:v>0.23832923646647955</c:v>
                </c:pt>
                <c:pt idx="5">
                  <c:v>0.30143125937641302</c:v>
                </c:pt>
                <c:pt idx="6">
                  <c:v>0.35710474336060977</c:v>
                </c:pt>
                <c:pt idx="7">
                  <c:v>0.42067539423026834</c:v>
                </c:pt>
                <c:pt idx="8">
                  <c:v>0.48457547136075985</c:v>
                </c:pt>
                <c:pt idx="9">
                  <c:v>0.5420373509532308</c:v>
                </c:pt>
                <c:pt idx="10">
                  <c:v>0.57130568807912852</c:v>
                </c:pt>
                <c:pt idx="11">
                  <c:v>0.64107788372986207</c:v>
                </c:pt>
                <c:pt idx="12">
                  <c:v>0.71372859373685638</c:v>
                </c:pt>
                <c:pt idx="13">
                  <c:v>0.78155259840657876</c:v>
                </c:pt>
                <c:pt idx="14">
                  <c:v>0.86577688200205982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'Ejecucion por Programa'!$AG$9</c:f>
              <c:strCache>
                <c:ptCount val="1"/>
                <c:pt idx="0">
                  <c:v>PROG 783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4"/>
              <c:layout>
                <c:manualLayout>
                  <c:x val="-7.6257515764774891E-3"/>
                  <c:y val="-9.0342656966993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Programa'!$AH$9:$AV$9</c:f>
              <c:numCache>
                <c:formatCode>0.0%</c:formatCode>
                <c:ptCount val="15"/>
                <c:pt idx="0">
                  <c:v>0</c:v>
                </c:pt>
                <c:pt idx="1">
                  <c:v>8.2754659490175769E-2</c:v>
                </c:pt>
                <c:pt idx="2">
                  <c:v>0.12395199074682743</c:v>
                </c:pt>
                <c:pt idx="3">
                  <c:v>0.2057917742419221</c:v>
                </c:pt>
                <c:pt idx="4">
                  <c:v>0.2057917742419221</c:v>
                </c:pt>
                <c:pt idx="5">
                  <c:v>0.26576438671716529</c:v>
                </c:pt>
                <c:pt idx="6">
                  <c:v>0.32424020876802151</c:v>
                </c:pt>
                <c:pt idx="7">
                  <c:v>0.38137051910877928</c:v>
                </c:pt>
                <c:pt idx="8">
                  <c:v>0.44617821619113329</c:v>
                </c:pt>
                <c:pt idx="9">
                  <c:v>0.48714224106997811</c:v>
                </c:pt>
                <c:pt idx="10">
                  <c:v>0.5099788499543082</c:v>
                </c:pt>
                <c:pt idx="11">
                  <c:v>0.57139356645109007</c:v>
                </c:pt>
                <c:pt idx="12">
                  <c:v>0.63477107375470487</c:v>
                </c:pt>
                <c:pt idx="13">
                  <c:v>0.70808288615654291</c:v>
                </c:pt>
                <c:pt idx="14">
                  <c:v>0.82122340093899293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'Ejecucion por Programa'!$AG$10</c:f>
              <c:strCache>
                <c:ptCount val="1"/>
                <c:pt idx="0">
                  <c:v>PROG 784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4"/>
              <c:layout>
                <c:manualLayout>
                  <c:x val="8.9279953072297982E-3"/>
                  <c:y val="-2.022591306058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'Ejecucion por Programa'!$AH$5:$AV$5</c:f>
              <c:strCache>
                <c:ptCount val="15"/>
                <c:pt idx="0">
                  <c:v>07-Enero</c:v>
                </c:pt>
                <c:pt idx="1">
                  <c:v>02-Febrero</c:v>
                </c:pt>
                <c:pt idx="2">
                  <c:v>01-Marzo</c:v>
                </c:pt>
                <c:pt idx="3">
                  <c:v>01-ABRIL</c:v>
                </c:pt>
                <c:pt idx="4">
                  <c:v>22-ABRIL</c:v>
                </c:pt>
                <c:pt idx="5">
                  <c:v>11-MAYO</c:v>
                </c:pt>
                <c:pt idx="6">
                  <c:v>01-JUNIO</c:v>
                </c:pt>
                <c:pt idx="7">
                  <c:v>30-JUNIO</c:v>
                </c:pt>
                <c:pt idx="8">
                  <c:v>03-AGOSTO</c:v>
                </c:pt>
                <c:pt idx="9">
                  <c:v>26-AGOSTO</c:v>
                </c:pt>
                <c:pt idx="10">
                  <c:v>31-AGOSTO</c:v>
                </c:pt>
                <c:pt idx="11">
                  <c:v>30-SETIEMBRE</c:v>
                </c:pt>
                <c:pt idx="12">
                  <c:v>31-OCTUBRE</c:v>
                </c:pt>
                <c:pt idx="13">
                  <c:v>30-NOVIEMBRE</c:v>
                </c:pt>
                <c:pt idx="14">
                  <c:v>23-DICIEMBRE</c:v>
                </c:pt>
              </c:strCache>
            </c:strRef>
          </c:cat>
          <c:val>
            <c:numRef>
              <c:f>'Ejecucion por Programa'!$AH$10:$AV$10</c:f>
              <c:numCache>
                <c:formatCode>0.0%</c:formatCode>
                <c:ptCount val="15"/>
                <c:pt idx="0">
                  <c:v>0</c:v>
                </c:pt>
                <c:pt idx="1">
                  <c:v>0.11570925218181546</c:v>
                </c:pt>
                <c:pt idx="2">
                  <c:v>0.1626488165739505</c:v>
                </c:pt>
                <c:pt idx="3">
                  <c:v>0.25129019514931733</c:v>
                </c:pt>
                <c:pt idx="4">
                  <c:v>0.25129019514931733</c:v>
                </c:pt>
                <c:pt idx="5">
                  <c:v>0.31431923888391666</c:v>
                </c:pt>
                <c:pt idx="6">
                  <c:v>0.38348291768852633</c:v>
                </c:pt>
                <c:pt idx="7">
                  <c:v>0.44740282664124387</c:v>
                </c:pt>
                <c:pt idx="8">
                  <c:v>0.51275678897521071</c:v>
                </c:pt>
                <c:pt idx="9">
                  <c:v>0.5531082270342087</c:v>
                </c:pt>
                <c:pt idx="10">
                  <c:v>0.57968585922017446</c:v>
                </c:pt>
                <c:pt idx="11">
                  <c:v>0.64460673182559847</c:v>
                </c:pt>
                <c:pt idx="12">
                  <c:v>0.70797571855644348</c:v>
                </c:pt>
                <c:pt idx="13">
                  <c:v>0.77281210486863083</c:v>
                </c:pt>
                <c:pt idx="14">
                  <c:v>0.92554579787461322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516000"/>
        <c:axId val="287516560"/>
      </c:lineChart>
      <c:catAx>
        <c:axId val="28751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7516560"/>
        <c:crosses val="autoZero"/>
        <c:auto val="1"/>
        <c:lblAlgn val="ctr"/>
        <c:lblOffset val="100"/>
        <c:noMultiLvlLbl val="1"/>
      </c:catAx>
      <c:valAx>
        <c:axId val="28751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751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>
      <a:solidFill>
        <a:schemeClr val="accent1">
          <a:lumMod val="50000"/>
        </a:schemeClr>
      </a:solidFill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92149434928882E-2"/>
          <c:y val="2.5213770039469771E-2"/>
          <c:w val="0.89469834311948115"/>
          <c:h val="0.936092940526962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COMPARATIVO!$A$3</c:f>
              <c:strCache>
                <c:ptCount val="1"/>
                <c:pt idx="0">
                  <c:v>PROG 779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.1718213058419244"/>
                  <c:y val="-2.060085651260121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494845360824742"/>
                  <c:y val="-2.060085651260121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2017</c:v>
                </c:pt>
                <c:pt idx="1">
                  <c:v>2016</c:v>
                </c:pt>
              </c:numCache>
            </c:numRef>
          </c:cat>
          <c:val>
            <c:numRef>
              <c:f>(COMPARATIVO!$C$3,COMPARATIVO!$E$3)</c:f>
              <c:numCache>
                <c:formatCode>0%</c:formatCode>
                <c:ptCount val="2"/>
                <c:pt idx="0">
                  <c:v>2.1267084231978827E-2</c:v>
                </c:pt>
                <c:pt idx="1">
                  <c:v>2.3705302840448514E-2</c:v>
                </c:pt>
              </c:numCache>
            </c:numRef>
          </c:val>
        </c:ser>
        <c:ser>
          <c:idx val="1"/>
          <c:order val="1"/>
          <c:tx>
            <c:strRef>
              <c:f>COMPARATIVO!$A$4</c:f>
              <c:strCache>
                <c:ptCount val="1"/>
                <c:pt idx="0">
                  <c:v>PROG 780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.17311001073319443"/>
                  <c:y val="-8.469241010736056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111120130602233"/>
                  <c:y val="-8.240342605040504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2017</c:v>
                </c:pt>
                <c:pt idx="1">
                  <c:v>2016</c:v>
                </c:pt>
              </c:numCache>
            </c:numRef>
          </c:cat>
          <c:val>
            <c:numRef>
              <c:f>(COMPARATIVO!$C$4,COMPARATIVO!$E$4)</c:f>
              <c:numCache>
                <c:formatCode>0%</c:formatCode>
                <c:ptCount val="2"/>
                <c:pt idx="0">
                  <c:v>8.6913793349580413E-3</c:v>
                </c:pt>
                <c:pt idx="1">
                  <c:v>7.4710727171269807E-3</c:v>
                </c:pt>
              </c:numCache>
            </c:numRef>
          </c:val>
        </c:ser>
        <c:ser>
          <c:idx val="2"/>
          <c:order val="2"/>
          <c:tx>
            <c:strRef>
              <c:f>COMPARATIVO!$A$5</c:f>
              <c:strCache>
                <c:ptCount val="1"/>
                <c:pt idx="0">
                  <c:v>PROG 781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2017</c:v>
                </c:pt>
                <c:pt idx="1">
                  <c:v>2016</c:v>
                </c:pt>
              </c:numCache>
            </c:numRef>
          </c:cat>
          <c:val>
            <c:numRef>
              <c:f>(COMPARATIVO!$C$5,COMPARATIVO!$E$5)</c:f>
              <c:numCache>
                <c:formatCode>0%</c:formatCode>
                <c:ptCount val="2"/>
                <c:pt idx="0">
                  <c:v>7.4254667540036137E-2</c:v>
                </c:pt>
                <c:pt idx="1">
                  <c:v>7.7924699230152522E-2</c:v>
                </c:pt>
              </c:numCache>
            </c:numRef>
          </c:val>
        </c:ser>
        <c:ser>
          <c:idx val="3"/>
          <c:order val="3"/>
          <c:tx>
            <c:strRef>
              <c:f>COMPARATIVO!$A$6</c:f>
              <c:strCache>
                <c:ptCount val="1"/>
                <c:pt idx="0">
                  <c:v>PROG 783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2017</c:v>
                </c:pt>
                <c:pt idx="1">
                  <c:v>2016</c:v>
                </c:pt>
              </c:numCache>
            </c:numRef>
          </c:cat>
          <c:val>
            <c:numRef>
              <c:f>(COMPARATIVO!$C$6,COMPARATIVO!$E$6)</c:f>
              <c:numCache>
                <c:formatCode>0%</c:formatCode>
                <c:ptCount val="2"/>
                <c:pt idx="0">
                  <c:v>0.79653150030228326</c:v>
                </c:pt>
                <c:pt idx="1">
                  <c:v>0.77828590918057372</c:v>
                </c:pt>
              </c:numCache>
            </c:numRef>
          </c:val>
        </c:ser>
        <c:ser>
          <c:idx val="4"/>
          <c:order val="4"/>
          <c:tx>
            <c:strRef>
              <c:f>COMPARATIVO!$A$7</c:f>
              <c:strCache>
                <c:ptCount val="1"/>
                <c:pt idx="0">
                  <c:v>PROG 784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2017</c:v>
                </c:pt>
                <c:pt idx="1">
                  <c:v>2016</c:v>
                </c:pt>
              </c:numCache>
            </c:numRef>
          </c:cat>
          <c:val>
            <c:numRef>
              <c:f>(COMPARATIVO!$C$7,COMPARATIVO!$E$7)</c:f>
              <c:numCache>
                <c:formatCode>0%</c:formatCode>
                <c:ptCount val="2"/>
                <c:pt idx="0">
                  <c:v>9.925536859074377E-2</c:v>
                </c:pt>
                <c:pt idx="1">
                  <c:v>0.11261301603169829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521600"/>
        <c:axId val="287522160"/>
      </c:barChart>
      <c:catAx>
        <c:axId val="28752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7522160"/>
        <c:crosses val="autoZero"/>
        <c:auto val="1"/>
        <c:lblAlgn val="ctr"/>
        <c:lblOffset val="100"/>
        <c:noMultiLvlLbl val="0"/>
      </c:catAx>
      <c:valAx>
        <c:axId val="28752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752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COMPARATIVO!$A$44</c:f>
              <c:strCache>
                <c:ptCount val="1"/>
                <c:pt idx="0">
                  <c:v>PROG 779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2017</c:v>
                </c:pt>
                <c:pt idx="1">
                  <c:v>2016</c:v>
                </c:pt>
              </c:numCache>
            </c:numRef>
          </c:cat>
          <c:val>
            <c:numRef>
              <c:f>(COMPARATIVO!$C$44,COMPARATIVO!$E$44)</c:f>
              <c:numCache>
                <c:formatCode>0%</c:formatCode>
                <c:ptCount val="2"/>
                <c:pt idx="0">
                  <c:v>0.89184335500275358</c:v>
                </c:pt>
                <c:pt idx="1">
                  <c:v>0.88526589241141873</c:v>
                </c:pt>
              </c:numCache>
            </c:numRef>
          </c:val>
        </c:ser>
        <c:ser>
          <c:idx val="1"/>
          <c:order val="1"/>
          <c:tx>
            <c:strRef>
              <c:f>COMPARATIVO!$A$45</c:f>
              <c:strCache>
                <c:ptCount val="1"/>
                <c:pt idx="0">
                  <c:v>PROG 780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2017</c:v>
                </c:pt>
                <c:pt idx="1">
                  <c:v>2016</c:v>
                </c:pt>
              </c:numCache>
            </c:numRef>
          </c:cat>
          <c:val>
            <c:numRef>
              <c:f>(COMPARATIVO!$C$45,COMPARATIVO!$E$45)</c:f>
              <c:numCache>
                <c:formatCode>0%</c:formatCode>
                <c:ptCount val="2"/>
                <c:pt idx="0">
                  <c:v>0.85706313236407194</c:v>
                </c:pt>
                <c:pt idx="1">
                  <c:v>0.89942246440310392</c:v>
                </c:pt>
              </c:numCache>
            </c:numRef>
          </c:val>
        </c:ser>
        <c:ser>
          <c:idx val="2"/>
          <c:order val="2"/>
          <c:tx>
            <c:strRef>
              <c:f>COMPARATIVO!$A$46</c:f>
              <c:strCache>
                <c:ptCount val="1"/>
                <c:pt idx="0">
                  <c:v>PROG 781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2017</c:v>
                </c:pt>
                <c:pt idx="1">
                  <c:v>2016</c:v>
                </c:pt>
              </c:numCache>
            </c:numRef>
          </c:cat>
          <c:val>
            <c:numRef>
              <c:f>(COMPARATIVO!$C$46,COMPARATIVO!$E$46)</c:f>
              <c:numCache>
                <c:formatCode>0%</c:formatCode>
                <c:ptCount val="2"/>
                <c:pt idx="0">
                  <c:v>0.86577688200205982</c:v>
                </c:pt>
                <c:pt idx="1">
                  <c:v>0.94686884717732644</c:v>
                </c:pt>
              </c:numCache>
            </c:numRef>
          </c:val>
        </c:ser>
        <c:ser>
          <c:idx val="3"/>
          <c:order val="3"/>
          <c:tx>
            <c:strRef>
              <c:f>COMPARATIVO!$A$47</c:f>
              <c:strCache>
                <c:ptCount val="1"/>
                <c:pt idx="0">
                  <c:v>PROG 783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2017</c:v>
                </c:pt>
                <c:pt idx="1">
                  <c:v>2016</c:v>
                </c:pt>
              </c:numCache>
            </c:numRef>
          </c:cat>
          <c:val>
            <c:numRef>
              <c:f>(COMPARATIVO!$C$47,COMPARATIVO!$E$47)</c:f>
              <c:numCache>
                <c:formatCode>0%</c:formatCode>
                <c:ptCount val="2"/>
                <c:pt idx="0">
                  <c:v>0.82122340093899293</c:v>
                </c:pt>
                <c:pt idx="1">
                  <c:v>0.94331409863563531</c:v>
                </c:pt>
              </c:numCache>
            </c:numRef>
          </c:val>
        </c:ser>
        <c:ser>
          <c:idx val="4"/>
          <c:order val="4"/>
          <c:tx>
            <c:strRef>
              <c:f>COMPARATIVO!$A$48</c:f>
              <c:strCache>
                <c:ptCount val="1"/>
                <c:pt idx="0">
                  <c:v>PROG 784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COMPARATIVO!$G$2:$H$2</c:f>
              <c:numCache>
                <c:formatCode>General</c:formatCode>
                <c:ptCount val="2"/>
                <c:pt idx="0">
                  <c:v>2017</c:v>
                </c:pt>
                <c:pt idx="1">
                  <c:v>2016</c:v>
                </c:pt>
              </c:numCache>
            </c:numRef>
          </c:cat>
          <c:val>
            <c:numRef>
              <c:f>(COMPARATIVO!$C$48,COMPARATIVO!$E$48)</c:f>
              <c:numCache>
                <c:formatCode>0%</c:formatCode>
                <c:ptCount val="2"/>
                <c:pt idx="0">
                  <c:v>0.92554579787461322</c:v>
                </c:pt>
                <c:pt idx="1">
                  <c:v>0.91648716581430723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8123472"/>
        <c:axId val="288124032"/>
      </c:barChart>
      <c:catAx>
        <c:axId val="28812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124032"/>
        <c:crosses val="autoZero"/>
        <c:auto val="1"/>
        <c:lblAlgn val="ctr"/>
        <c:lblOffset val="100"/>
        <c:noMultiLvlLbl val="0"/>
      </c:catAx>
      <c:valAx>
        <c:axId val="28812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12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2170338</xdr:colOff>
      <xdr:row>27</xdr:row>
      <xdr:rowOff>40140</xdr:rowOff>
    </xdr:from>
    <xdr:to>
      <xdr:col>8</xdr:col>
      <xdr:colOff>56697</xdr:colOff>
      <xdr:row>44</xdr:row>
      <xdr:rowOff>90714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12</xdr:row>
      <xdr:rowOff>123825</xdr:rowOff>
    </xdr:from>
    <xdr:to>
      <xdr:col>14</xdr:col>
      <xdr:colOff>342900</xdr:colOff>
      <xdr:row>30</xdr:row>
      <xdr:rowOff>19050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0</xdr:row>
      <xdr:rowOff>128586</xdr:rowOff>
    </xdr:from>
    <xdr:to>
      <xdr:col>12</xdr:col>
      <xdr:colOff>476250</xdr:colOff>
      <xdr:row>29</xdr:row>
      <xdr:rowOff>66675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68715</xdr:colOff>
      <xdr:row>12</xdr:row>
      <xdr:rowOff>49542</xdr:rowOff>
    </xdr:from>
    <xdr:to>
      <xdr:col>6</xdr:col>
      <xdr:colOff>1059656</xdr:colOff>
      <xdr:row>32</xdr:row>
      <xdr:rowOff>160812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94821</xdr:colOff>
      <xdr:row>12</xdr:row>
      <xdr:rowOff>83344</xdr:rowOff>
    </xdr:from>
    <xdr:to>
      <xdr:col>15</xdr:col>
      <xdr:colOff>142874</xdr:colOff>
      <xdr:row>32</xdr:row>
      <xdr:rowOff>183697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152523</xdr:colOff>
      <xdr:row>33</xdr:row>
      <xdr:rowOff>92007</xdr:rowOff>
    </xdr:from>
    <xdr:to>
      <xdr:col>6</xdr:col>
      <xdr:colOff>1083468</xdr:colOff>
      <xdr:row>54</xdr:row>
      <xdr:rowOff>3248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1184443</xdr:colOff>
      <xdr:row>33</xdr:row>
      <xdr:rowOff>71902</xdr:rowOff>
    </xdr:from>
    <xdr:to>
      <xdr:col>15</xdr:col>
      <xdr:colOff>250031</xdr:colOff>
      <xdr:row>54</xdr:row>
      <xdr:rowOff>16544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13</xdr:row>
      <xdr:rowOff>104774</xdr:rowOff>
    </xdr:from>
    <xdr:to>
      <xdr:col>29</xdr:col>
      <xdr:colOff>495300</xdr:colOff>
      <xdr:row>34</xdr:row>
      <xdr:rowOff>180975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</xdr:row>
      <xdr:rowOff>176211</xdr:rowOff>
    </xdr:from>
    <xdr:to>
      <xdr:col>7</xdr:col>
      <xdr:colOff>133350</xdr:colOff>
      <xdr:row>38</xdr:row>
      <xdr:rowOff>9524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50</xdr:row>
      <xdr:rowOff>114300</xdr:rowOff>
    </xdr:from>
    <xdr:to>
      <xdr:col>7</xdr:col>
      <xdr:colOff>104775</xdr:colOff>
      <xdr:row>79</xdr:row>
      <xdr:rowOff>138113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JKSNJ02\Unidad%20de%20Presupuesto\Users\karroyo\Documents\Ministerio%20de%20Justicia%20y%20Paz\Informes%20de%20Ejecucion%20Mensuales\Agosto-2015\INFORME%20DE%20EJECUCION%20%20AL%2031-AGOSTO-2015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nidad%20de%20Presupuesto/Informes%20de%20Ejecuci&#243;n%20mensual/PERIODO%202017/12%20DICIEMBRE/Ejecuci&#243;n%20Presupuestaria%2031-Dic-17%20Prog%20779%20ex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nidad%20de%20Presupuesto/Informes%20de%20Ejecuci&#243;n%20mensual/PERIODO%202017/12%20DICIEMBRE/Ejecuci&#243;n%20Presupuestaria%2031-Dic-17%20Prog%20780%20ex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nidad%20de%20Presupuesto/Informes%20de%20Ejecuci&#243;n%20mensual/PERIODO%202017/12%20DICIEMBRE/Ejecuci&#243;n%20Presupuestaria%2031-Dic-17%20Prog%20781%20ex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JKSNJ02\Unidad%20de%20Presupuesto\Informes%20de%20Ejecuci&#243;n%20mensual\PERIODO%202017\12%20DICIEMBRE\Ejecuci&#243;n%20Presupuestaria%2031-Dic-17%20Prog%20783%20sin%20contrapartid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Unidad%20de%20Presupuesto/Informes%20de%20Ejecuci&#243;n%20mensual/PERIODO%202017/12%20DICIEMBRE/Ejecuci&#243;n%20Presupuestaria%2031-Dic-17%20Prog%20784%20ex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\Comportamiento%2023-oct-15\Informe%20ejecucion%2023-10-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7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8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8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83%20con%20B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6-vme-hmwrj02\control%20solic.%20reservas.%20caducos.%20cesiones\Users\karroyo\Documents\Ministerio%20de%20Justicia%20y%20Paz\Informes%20de%20Ejecucion%20Mensuales\Informes%2001-oct-2015\Ejecuci&#243;n%20Presupuestaria%207-set-15%20Prog%2078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sigaf"/>
      <sheetName val="RESUMEN"/>
      <sheetName val="GRAF. MENSUALES EJEC. Y DISP."/>
    </sheetNames>
    <sheetDataSet>
      <sheetData sheetId="0">
        <row r="5">
          <cell r="A5" t="str">
            <v>214  - Ministerio de Justicia y Gracia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SIGAF"/>
      <sheetName val="ejecución"/>
      <sheetName val="Resumen partida"/>
      <sheetName val="Hoja4"/>
      <sheetName val="proyeccion"/>
      <sheetName val="Resumen por Partida"/>
      <sheetName val="comport. resumen"/>
      <sheetName val="mensual"/>
    </sheetNames>
    <sheetDataSet>
      <sheetData sheetId="0">
        <row r="10">
          <cell r="C10">
            <v>2888329075</v>
          </cell>
          <cell r="E10">
            <v>870800</v>
          </cell>
          <cell r="G10">
            <v>31102070.57</v>
          </cell>
          <cell r="I10">
            <v>0</v>
          </cell>
          <cell r="K10">
            <v>2575937092.5999999</v>
          </cell>
          <cell r="O10">
            <v>280419111.82999998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"/>
      <sheetName val="SIGAF"/>
      <sheetName val="Resumen partida"/>
      <sheetName val="Hoja4"/>
      <sheetName val="Estado"/>
      <sheetName val="Hoja1"/>
      <sheetName val="Hoja1 (2)"/>
      <sheetName val="Resumen por Partida"/>
      <sheetName val="Proyeccion"/>
      <sheetName val="comport. resumen"/>
      <sheetName val="mensual"/>
    </sheetNames>
    <sheetDataSet>
      <sheetData sheetId="0"/>
      <sheetData sheetId="1"/>
      <sheetData sheetId="2"/>
      <sheetData sheetId="3"/>
      <sheetData sheetId="4">
        <row r="10">
          <cell r="C10">
            <v>1180395176</v>
          </cell>
          <cell r="E10">
            <v>1020000</v>
          </cell>
          <cell r="G10">
            <v>11246850.499999998</v>
          </cell>
          <cell r="I10">
            <v>0</v>
          </cell>
          <cell r="K10">
            <v>1011673186.97</v>
          </cell>
          <cell r="O10">
            <v>156455138.53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Ejecución"/>
      <sheetName val="Hoja1"/>
      <sheetName val="SIGAF"/>
      <sheetName val="Resumen partida"/>
      <sheetName val="Hoja4"/>
      <sheetName val="Resumen por Partida"/>
      <sheetName val="proyecion"/>
      <sheetName val="comport.resumen"/>
      <sheetName val="mensual"/>
    </sheetNames>
    <sheetDataSet>
      <sheetData sheetId="0">
        <row r="10">
          <cell r="C10">
            <v>10084688285</v>
          </cell>
          <cell r="E10">
            <v>6500000</v>
          </cell>
          <cell r="G10">
            <v>136592267.66</v>
          </cell>
          <cell r="I10">
            <v>0</v>
          </cell>
          <cell r="K10">
            <v>8731089979.3500004</v>
          </cell>
          <cell r="O10">
            <v>1210506037.99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Ejecución"/>
      <sheetName val="Presupues Ley vrs Actual"/>
      <sheetName val="Hoja1"/>
      <sheetName val="SIGAF"/>
      <sheetName val="Resumen partida"/>
      <sheetName val="Hoja4"/>
      <sheetName val="Resumen por Partida"/>
      <sheetName val="proyeccion"/>
      <sheetName val="comport. resumen"/>
      <sheetName val="Mensual"/>
    </sheetNames>
    <sheetDataSet>
      <sheetData sheetId="0">
        <row r="10">
          <cell r="C10">
            <v>108178679615</v>
          </cell>
          <cell r="E10">
            <v>137288060.28</v>
          </cell>
          <cell r="G10">
            <v>5048648477.9399996</v>
          </cell>
          <cell r="I10">
            <v>0</v>
          </cell>
          <cell r="K10">
            <v>88838863182.520004</v>
          </cell>
          <cell r="O10">
            <v>14153879894.26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Ejecución"/>
      <sheetName val="Hoja1"/>
      <sheetName val="SIGAF"/>
      <sheetName val="Resumen partida"/>
      <sheetName val="Hoja4"/>
      <sheetName val="Resumen por Partida"/>
      <sheetName val="proyeccion"/>
      <sheetName val="Comport. resumen"/>
      <sheetName val="Mensual"/>
    </sheetNames>
    <sheetDataSet>
      <sheetData sheetId="0">
        <row r="10">
          <cell r="C10">
            <v>13480088000</v>
          </cell>
          <cell r="E10">
            <v>0</v>
          </cell>
          <cell r="G10">
            <v>12968369.449999999</v>
          </cell>
          <cell r="J10">
            <v>0</v>
          </cell>
          <cell r="K10">
            <v>12476438803.379999</v>
          </cell>
          <cell r="O10">
            <v>990680827.16999996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779"/>
      <sheetName val="Resumen 779"/>
      <sheetName val="Prog.780"/>
      <sheetName val="Resumen 780"/>
      <sheetName val="Prog.781"/>
      <sheetName val="Resumen 781"/>
      <sheetName val="Prog.783"/>
      <sheetName val="Resumen 783"/>
      <sheetName val="Prog.784"/>
      <sheetName val="Resumen 784"/>
      <sheetName val="Consolidado"/>
      <sheetName val="Resumen Consolidado"/>
      <sheetName val="Analisis Programas"/>
    </sheetNames>
    <sheetDataSet>
      <sheetData sheetId="0" refreshError="1"/>
      <sheetData sheetId="1">
        <row r="37">
          <cell r="B37" t="str">
            <v>1  SERVICIOS</v>
          </cell>
        </row>
      </sheetData>
      <sheetData sheetId="2" refreshError="1"/>
      <sheetData sheetId="3">
        <row r="36">
          <cell r="E36" t="str">
            <v>Compromiso</v>
          </cell>
        </row>
      </sheetData>
      <sheetData sheetId="4" refreshError="1"/>
      <sheetData sheetId="5">
        <row r="42">
          <cell r="C42">
            <v>1365352000</v>
          </cell>
        </row>
      </sheetData>
      <sheetData sheetId="6" refreshError="1"/>
      <sheetData sheetId="7">
        <row r="37">
          <cell r="B37" t="str">
            <v>1  SERVICIOS</v>
          </cell>
        </row>
      </sheetData>
      <sheetData sheetId="8" refreshError="1"/>
      <sheetData sheetId="9">
        <row r="42">
          <cell r="C42">
            <v>1007732000</v>
          </cell>
        </row>
      </sheetData>
      <sheetData sheetId="10" refreshError="1"/>
      <sheetData sheetId="11">
        <row r="36">
          <cell r="E36" t="str">
            <v>Compromiso</v>
          </cell>
        </row>
      </sheetData>
      <sheetData sheetId="12">
        <row r="5">
          <cell r="C5" t="str">
            <v xml:space="preserve">Apropiación Actual </v>
          </cell>
        </row>
        <row r="6">
          <cell r="B6" t="str">
            <v>PROG 779</v>
          </cell>
        </row>
        <row r="7">
          <cell r="B7" t="str">
            <v>PROG 780</v>
          </cell>
        </row>
        <row r="8">
          <cell r="B8" t="str">
            <v>PROG 781</v>
          </cell>
        </row>
        <row r="9">
          <cell r="B9" t="str">
            <v>PROG 783</v>
          </cell>
        </row>
        <row r="10">
          <cell r="B10" t="str">
            <v>PROG 784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cion"/>
      <sheetName val="SIGAF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3104857000</v>
          </cell>
          <cell r="C10">
            <v>1064850521.0999999</v>
          </cell>
          <cell r="D10">
            <v>817913281.75999999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cion"/>
      <sheetName val="SIGAF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886495000</v>
          </cell>
          <cell r="C10">
            <v>344496181.24000001</v>
          </cell>
          <cell r="D10">
            <v>196164904.31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ion"/>
      <sheetName val="SIGAF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9259897000</v>
          </cell>
          <cell r="C10">
            <v>2809082347.3700004</v>
          </cell>
          <cell r="D10">
            <v>2552094589.6900001</v>
          </cell>
        </row>
      </sheetData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cion"/>
      <sheetName val="SIG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B10">
            <v>152948794714.44</v>
          </cell>
          <cell r="C10">
            <v>69213232409.300003</v>
          </cell>
          <cell r="D10">
            <v>29520016193.59</v>
          </cell>
        </row>
      </sheetData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Hoja1"/>
      <sheetName val="Resumen partida"/>
      <sheetName val="Hoja4"/>
      <sheetName val="Resumen por Partida"/>
      <sheetName val="proyeccion"/>
      <sheetName val="SIG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B10">
            <v>13799039000</v>
          </cell>
          <cell r="C10">
            <v>4783423549.5699997</v>
          </cell>
          <cell r="D10">
            <v>3910561059.5099998</v>
          </cell>
          <cell r="E10">
            <v>872862490.06000042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14"/>
  <sheetViews>
    <sheetView topLeftCell="G184" workbookViewId="0">
      <selection activeCell="G203" sqref="A203:XFD203"/>
    </sheetView>
  </sheetViews>
  <sheetFormatPr baseColWidth="10" defaultRowHeight="15" x14ac:dyDescent="0.25"/>
  <cols>
    <col min="1" max="1" width="16.85546875" customWidth="1"/>
    <col min="2" max="2" width="25.42578125" customWidth="1"/>
    <col min="3" max="3" width="19.5703125" customWidth="1"/>
    <col min="4" max="4" width="18.5703125" customWidth="1"/>
    <col min="5" max="5" width="17.5703125" customWidth="1"/>
    <col min="6" max="6" width="6.85546875" style="14" customWidth="1"/>
    <col min="7" max="7" width="18.5703125" customWidth="1"/>
    <col min="8" max="8" width="7.42578125" customWidth="1"/>
    <col min="9" max="9" width="16.85546875" bestFit="1" customWidth="1"/>
    <col min="10" max="10" width="10.7109375" customWidth="1"/>
    <col min="11" max="11" width="16.85546875" customWidth="1"/>
    <col min="12" max="12" width="8.85546875" customWidth="1"/>
    <col min="13" max="13" width="18.140625" customWidth="1"/>
    <col min="14" max="14" width="8.28515625" customWidth="1"/>
    <col min="15" max="15" width="17" style="88" customWidth="1"/>
    <col min="16" max="16" width="7.7109375" bestFit="1" customWidth="1"/>
    <col min="17" max="17" width="16.5703125" customWidth="1"/>
    <col min="18" max="18" width="7.7109375" bestFit="1" customWidth="1"/>
    <col min="19" max="19" width="15.28515625" bestFit="1" customWidth="1"/>
  </cols>
  <sheetData>
    <row r="1" spans="1:18" ht="15.75" x14ac:dyDescent="0.25">
      <c r="A1" s="186" t="s">
        <v>22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8"/>
    </row>
    <row r="2" spans="1:18" ht="15.75" x14ac:dyDescent="0.25">
      <c r="A2" s="189" t="s">
        <v>23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1"/>
    </row>
    <row r="3" spans="1:18" ht="15.75" x14ac:dyDescent="0.25">
      <c r="A3" s="189" t="s">
        <v>69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1"/>
    </row>
    <row r="4" spans="1:18" ht="15.75" x14ac:dyDescent="0.25">
      <c r="A4" s="195" t="s">
        <v>614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7"/>
    </row>
    <row r="5" spans="1:18" ht="15.75" x14ac:dyDescent="0.25">
      <c r="A5" s="192" t="s">
        <v>55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4"/>
    </row>
    <row r="6" spans="1:18" ht="15.75" x14ac:dyDescent="0.25">
      <c r="A6" s="189" t="s">
        <v>589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1"/>
    </row>
    <row r="7" spans="1:18" ht="15.75" thickBot="1" x14ac:dyDescent="0.3">
      <c r="A7" s="1"/>
      <c r="B7" s="2"/>
      <c r="C7" s="2"/>
      <c r="D7" s="2"/>
      <c r="E7" s="2"/>
      <c r="F7" s="10"/>
      <c r="G7" s="2"/>
      <c r="H7" s="2"/>
      <c r="I7" s="2"/>
      <c r="J7" s="2"/>
      <c r="K7" s="2"/>
      <c r="L7" s="2"/>
      <c r="M7" s="2"/>
      <c r="N7" s="2"/>
      <c r="O7" s="85"/>
      <c r="P7" s="2"/>
      <c r="Q7" s="2"/>
      <c r="R7" s="3"/>
    </row>
    <row r="8" spans="1:18" ht="24" x14ac:dyDescent="0.25">
      <c r="A8" s="53" t="s">
        <v>24</v>
      </c>
      <c r="B8" s="53" t="s">
        <v>549</v>
      </c>
      <c r="C8" s="53" t="s">
        <v>25</v>
      </c>
      <c r="D8" s="53" t="s">
        <v>552</v>
      </c>
      <c r="E8" s="53" t="s">
        <v>27</v>
      </c>
      <c r="F8" s="53" t="s">
        <v>28</v>
      </c>
      <c r="G8" s="53" t="s">
        <v>29</v>
      </c>
      <c r="H8" s="53" t="s">
        <v>30</v>
      </c>
      <c r="I8" s="53" t="s">
        <v>31</v>
      </c>
      <c r="J8" s="53" t="s">
        <v>32</v>
      </c>
      <c r="K8" s="53" t="s">
        <v>33</v>
      </c>
      <c r="L8" s="53" t="s">
        <v>34</v>
      </c>
      <c r="M8" s="53" t="s">
        <v>35</v>
      </c>
      <c r="N8" s="53" t="s">
        <v>36</v>
      </c>
      <c r="O8" s="53" t="s">
        <v>551</v>
      </c>
      <c r="P8" s="53" t="s">
        <v>38</v>
      </c>
      <c r="Q8" s="53" t="s">
        <v>565</v>
      </c>
      <c r="R8" s="54" t="s">
        <v>40</v>
      </c>
    </row>
    <row r="9" spans="1:18" x14ac:dyDescent="0.25">
      <c r="A9" s="11" t="s">
        <v>41</v>
      </c>
      <c r="B9" s="11"/>
      <c r="C9" s="11" t="s">
        <v>42</v>
      </c>
      <c r="D9" s="11" t="s">
        <v>42</v>
      </c>
      <c r="E9" s="11" t="s">
        <v>42</v>
      </c>
      <c r="F9" s="12"/>
      <c r="G9" s="11" t="s">
        <v>42</v>
      </c>
      <c r="H9" s="11"/>
      <c r="I9" s="11" t="s">
        <v>42</v>
      </c>
      <c r="J9" s="11"/>
      <c r="K9" s="11" t="s">
        <v>42</v>
      </c>
      <c r="L9" s="11"/>
      <c r="M9" s="11" t="s">
        <v>42</v>
      </c>
      <c r="N9" s="11"/>
      <c r="O9" s="86" t="s">
        <v>42</v>
      </c>
      <c r="P9" s="11"/>
      <c r="Q9" s="11" t="s">
        <v>42</v>
      </c>
      <c r="R9" s="13"/>
    </row>
    <row r="10" spans="1:18" s="23" customFormat="1" x14ac:dyDescent="0.25">
      <c r="A10">
        <v>214</v>
      </c>
      <c r="B10" s="21"/>
      <c r="C10" s="35">
        <f>SUMIF(SIGAF!$A$2:$A$547,$A10,SIGAF!$F$2:$F$547)</f>
        <v>135812180151</v>
      </c>
      <c r="D10" s="35">
        <f>SUMIF(SIGAF!$A$2:$A$547,$A10,SIGAF!$G$2:$G$547)</f>
        <v>135533408585.8</v>
      </c>
      <c r="E10" s="35">
        <f>SUMIF(SIGAF!$A$2:$A$547,$A10,SIGAF!$H$2:$H$547)</f>
        <v>145678860.28</v>
      </c>
      <c r="F10" s="66">
        <f>+IFERROR(+E10/$C10,0)</f>
        <v>1.0726494495414912E-3</v>
      </c>
      <c r="G10" s="35">
        <f>SUMIF(SIGAF!$A$2:$A$547,$A10,SIGAF!$I$2:$I$547)</f>
        <v>5240558036.1199999</v>
      </c>
      <c r="H10" s="66">
        <f>+IFERROR(+G10/$C10,0)</f>
        <v>3.858680444046618E-2</v>
      </c>
      <c r="I10" s="35">
        <f>SUMIF(SIGAF!$A$2:$A$547,$A10,SIGAF!$J$2:$J$547)</f>
        <v>0</v>
      </c>
      <c r="J10" s="66">
        <f>+IFERROR(+I10/$C10,0)</f>
        <v>0</v>
      </c>
      <c r="K10" s="35">
        <f>SUMIF(SIGAF!$A$2:$A$547,$A10,SIGAF!$K$2:$K$547)</f>
        <v>113634002244.82001</v>
      </c>
      <c r="L10" s="141">
        <f t="shared" ref="L10:L11" si="0">+IFERROR(+K10/$C10,0)</f>
        <v>0.83669964003580799</v>
      </c>
      <c r="M10" s="35">
        <f>SUMIF(SIGAF!$A$2:$A$547,$A10,SIGAF!$L$2:$L$547)</f>
        <v>110084567665.66</v>
      </c>
      <c r="N10" s="66">
        <f>+IFERROR(+M10/$C10,0)</f>
        <v>0.81056476336117078</v>
      </c>
      <c r="O10" s="35">
        <f>SUMIF(SIGAF!$A$2:$A$547,$A10,SIGAF!$M$2:$M$547)</f>
        <v>16791941009.780001</v>
      </c>
      <c r="P10" s="66">
        <f>+IFERROR(+O10/$C10,0)</f>
        <v>0.12364090607418439</v>
      </c>
      <c r="Q10" s="35">
        <f>SUMIF(SIGAF!$A$2:$A$547,$A10,SIGAF!$N$2:$N$547)</f>
        <v>16513169444.58</v>
      </c>
      <c r="R10" s="66">
        <f>+IFERROR(+Q10/$C10,0)</f>
        <v>0.12158828041947467</v>
      </c>
    </row>
    <row r="11" spans="1:18" s="23" customFormat="1" x14ac:dyDescent="0.25">
      <c r="A11" s="21" t="s">
        <v>92</v>
      </c>
      <c r="B11" s="21" t="s">
        <v>93</v>
      </c>
      <c r="C11" s="35">
        <f>SUMIF(SIGAF!$B$2:$B$547,$A11,SIGAF!$F$2:$F$547)</f>
        <v>86418080010.330002</v>
      </c>
      <c r="D11" s="35">
        <f>SUMIF(SIGAF!$B$2:$B$547,$A11,SIGAF!$G$2:$G$547)</f>
        <v>86418080010.330002</v>
      </c>
      <c r="E11" s="35">
        <f>SUMIF(SIGAF!$B$2:$B$547,$A11,SIGAF!$H$2:$H$547)</f>
        <v>0</v>
      </c>
      <c r="F11" s="66">
        <f t="shared" ref="F11:F74" si="1">+IFERROR(+E11/$C11,0)</f>
        <v>0</v>
      </c>
      <c r="G11" s="35">
        <f>SUMIF(SIGAF!$B$2:$B$547,$A11,SIGAF!$I$2:$I$547)</f>
        <v>1970723.45</v>
      </c>
      <c r="H11" s="66">
        <f t="shared" ref="H11:J74" si="2">+IFERROR(+G11/$C11,0)</f>
        <v>2.2804527128633604E-5</v>
      </c>
      <c r="I11" s="35">
        <f>SUMIF(SIGAF!$B$2:$B$547,$A11,SIGAF!$J$2:$J$547)</f>
        <v>0</v>
      </c>
      <c r="J11" s="66">
        <f t="shared" si="2"/>
        <v>0</v>
      </c>
      <c r="K11" s="35">
        <f>SUMIF(SIGAF!$B$2:$B$547,$A11,SIGAF!$K$2:$K$547)</f>
        <v>82017714248.119995</v>
      </c>
      <c r="L11" s="141">
        <f t="shared" si="0"/>
        <v>0.94908049609891809</v>
      </c>
      <c r="M11" s="35">
        <f>SUMIF(SIGAF!$B$2:$B$547,$A11,SIGAF!$L$2:$L$547)</f>
        <v>82017714248.119995</v>
      </c>
      <c r="N11" s="66">
        <f t="shared" ref="N11:N74" si="3">+IFERROR(+M11/$C11,0)</f>
        <v>0.94908049609891809</v>
      </c>
      <c r="O11" s="87">
        <f>SUMIF(SIGAF!$B$2:$B$547,$A11,SIGAF!$M$2:$M$547)</f>
        <v>4398395038.7600002</v>
      </c>
      <c r="P11" s="66">
        <f t="shared" ref="P11:P74" si="4">+IFERROR(+O11/$C11,0)</f>
        <v>5.0896699373953198E-2</v>
      </c>
      <c r="Q11" s="35">
        <f>SUMIF(SIGAF!$B$2:$B$547,$A11,SIGAF!$N$2:$N$547)</f>
        <v>4398395038.7600002</v>
      </c>
      <c r="R11" s="66">
        <f t="shared" ref="R11:R74" si="5">+IFERROR(+Q11/$C11,0)</f>
        <v>5.0896699373953198E-2</v>
      </c>
    </row>
    <row r="12" spans="1:18" x14ac:dyDescent="0.25">
      <c r="A12" s="11" t="s">
        <v>94</v>
      </c>
      <c r="B12" s="11" t="s">
        <v>418</v>
      </c>
      <c r="C12" s="13">
        <f>SUMIF(SIGAF!$B$2:$B$547,$A12,SIGAF!$F$2:$F$547)</f>
        <v>31112638934</v>
      </c>
      <c r="D12" s="13">
        <f>SUMIF(SIGAF!$B$2:$B$547,$A12,SIGAF!$G$2:$G$547)</f>
        <v>31112638934</v>
      </c>
      <c r="E12" s="13">
        <f>SUMIF(SIGAF!$B$2:$B$547,$A12,SIGAF!$H$2:$H$547)</f>
        <v>0</v>
      </c>
      <c r="F12" s="67">
        <f t="shared" si="1"/>
        <v>0</v>
      </c>
      <c r="G12" s="132">
        <f>SUMIF(SIGAF!$B$2:$B$547,$A12,SIGAF!$I$2:$I$547)</f>
        <v>960284.38</v>
      </c>
      <c r="H12" s="67">
        <f t="shared" si="2"/>
        <v>3.0864767917535849E-5</v>
      </c>
      <c r="I12" s="13">
        <f>SUMIF(SIGAF!$B$2:$B$547,$A12,SIGAF!$J$2:$J$547)</f>
        <v>0</v>
      </c>
      <c r="J12" s="67">
        <f t="shared" si="2"/>
        <v>0</v>
      </c>
      <c r="K12" s="13">
        <f>SUMIF(SIGAF!$B$2:$B$547,$A12,SIGAF!$K$2:$K$547)</f>
        <v>29450419992.190002</v>
      </c>
      <c r="L12" s="142">
        <f>+IFERROR(+K12/$C12,0)</f>
        <v>0.94657415768118858</v>
      </c>
      <c r="M12" s="13">
        <f>SUMIF(SIGAF!$B$2:$B$547,$A12,SIGAF!$L$2:$L$547)</f>
        <v>29450419992.190002</v>
      </c>
      <c r="N12" s="67">
        <f t="shared" si="3"/>
        <v>0.94657415768118858</v>
      </c>
      <c r="O12" s="86">
        <f>SUMIF(SIGAF!$B$2:$B$547,$A12,SIGAF!$M$2:$M$547)</f>
        <v>1661258657.4300001</v>
      </c>
      <c r="P12" s="67">
        <f t="shared" si="4"/>
        <v>5.3394977550893979E-2</v>
      </c>
      <c r="Q12" s="13">
        <f>SUMIF(SIGAF!$B$2:$B$547,$A12,SIGAF!$N$2:$N$547)</f>
        <v>1661258657.4300001</v>
      </c>
      <c r="R12" s="67">
        <f t="shared" si="5"/>
        <v>5.3394977550893979E-2</v>
      </c>
    </row>
    <row r="13" spans="1:18" x14ac:dyDescent="0.25">
      <c r="A13" s="11" t="s">
        <v>96</v>
      </c>
      <c r="B13" s="11" t="s">
        <v>419</v>
      </c>
      <c r="C13" s="13">
        <f>SUMIF(SIGAF!$B$2:$B$547,$A13,SIGAF!$F$2:$F$547)</f>
        <v>30844780124</v>
      </c>
      <c r="D13" s="13">
        <f>SUMIF(SIGAF!$B$2:$B$547,$A13,SIGAF!$G$2:$G$547)</f>
        <v>30844780124</v>
      </c>
      <c r="E13" s="13">
        <f>SUMIF(SIGAF!$B$2:$B$547,$A13,SIGAF!$H$2:$H$547)</f>
        <v>0</v>
      </c>
      <c r="F13" s="67">
        <f t="shared" si="1"/>
        <v>0</v>
      </c>
      <c r="G13" s="132">
        <f>SUMIF(SIGAF!$B$2:$B$547,$A13,SIGAF!$I$2:$I$547)</f>
        <v>960284.38</v>
      </c>
      <c r="H13" s="67">
        <f t="shared" si="2"/>
        <v>3.1132800303310085E-5</v>
      </c>
      <c r="I13" s="13">
        <f>SUMIF(SIGAF!$B$2:$B$547,$A13,SIGAF!$J$2:$J$547)</f>
        <v>0</v>
      </c>
      <c r="J13" s="67">
        <f t="shared" si="2"/>
        <v>0</v>
      </c>
      <c r="K13" s="13">
        <f>SUMIF(SIGAF!$B$2:$B$547,$A13,SIGAF!$K$2:$K$547)</f>
        <v>29205763121.209999</v>
      </c>
      <c r="L13" s="142">
        <f t="shared" ref="L13:L76" si="6">+IFERROR(+K13/$C13,0)</f>
        <v>0.94686241898301948</v>
      </c>
      <c r="M13" s="13">
        <f>SUMIF(SIGAF!$B$2:$B$547,$A13,SIGAF!$L$2:$L$547)</f>
        <v>29205763121.209999</v>
      </c>
      <c r="N13" s="67">
        <f t="shared" si="3"/>
        <v>0.94686241898301948</v>
      </c>
      <c r="O13" s="86">
        <f>SUMIF(SIGAF!$B$2:$B$547,$A13,SIGAF!$M$2:$M$547)</f>
        <v>1638056718.4100001</v>
      </c>
      <c r="P13" s="67">
        <f t="shared" si="4"/>
        <v>5.3106448216677198E-2</v>
      </c>
      <c r="Q13" s="13">
        <f>SUMIF(SIGAF!$B$2:$B$547,$A13,SIGAF!$N$2:$N$547)</f>
        <v>1638056718.4100001</v>
      </c>
      <c r="R13" s="67">
        <f t="shared" si="5"/>
        <v>5.3106448216677198E-2</v>
      </c>
    </row>
    <row r="14" spans="1:18" x14ac:dyDescent="0.25">
      <c r="A14" s="11" t="s">
        <v>356</v>
      </c>
      <c r="B14" s="11" t="s">
        <v>357</v>
      </c>
      <c r="C14" s="13">
        <f>SUMIF(SIGAF!$B$2:$B$547,$A14,SIGAF!$F$2:$F$547)</f>
        <v>262858810</v>
      </c>
      <c r="D14" s="13">
        <f>SUMIF(SIGAF!$B$2:$B$547,$A14,SIGAF!$G$2:$G$547)</f>
        <v>262858810</v>
      </c>
      <c r="E14" s="13">
        <f>SUMIF(SIGAF!$B$2:$B$547,$A14,SIGAF!$H$2:$H$547)</f>
        <v>0</v>
      </c>
      <c r="F14" s="67">
        <f t="shared" si="1"/>
        <v>0</v>
      </c>
      <c r="G14" s="132">
        <f>SUMIF(SIGAF!$B$2:$B$547,$A14,SIGAF!$I$2:$I$547)</f>
        <v>0</v>
      </c>
      <c r="H14" s="67">
        <f t="shared" si="2"/>
        <v>0</v>
      </c>
      <c r="I14" s="13">
        <f>SUMIF(SIGAF!$B$2:$B$547,$A14,SIGAF!$J$2:$J$547)</f>
        <v>0</v>
      </c>
      <c r="J14" s="67">
        <f t="shared" si="2"/>
        <v>0</v>
      </c>
      <c r="K14" s="13">
        <f>SUMIF(SIGAF!$B$2:$B$547,$A14,SIGAF!$K$2:$K$547)</f>
        <v>243097520.97999999</v>
      </c>
      <c r="L14" s="142">
        <f t="shared" si="6"/>
        <v>0.92482165988653753</v>
      </c>
      <c r="M14" s="13">
        <f>SUMIF(SIGAF!$B$2:$B$547,$A14,SIGAF!$L$2:$L$547)</f>
        <v>243097520.97999999</v>
      </c>
      <c r="N14" s="67">
        <f t="shared" si="3"/>
        <v>0.92482165988653753</v>
      </c>
      <c r="O14" s="86">
        <f>SUMIF(SIGAF!$B$2:$B$547,$A14,SIGAF!$M$2:$M$547)</f>
        <v>19761289.02</v>
      </c>
      <c r="P14" s="67">
        <f t="shared" si="4"/>
        <v>7.517834011346243E-2</v>
      </c>
      <c r="Q14" s="13">
        <f>SUMIF(SIGAF!$B$2:$B$547,$A14,SIGAF!$N$2:$N$547)</f>
        <v>19761289.02</v>
      </c>
      <c r="R14" s="67">
        <f t="shared" si="5"/>
        <v>7.517834011346243E-2</v>
      </c>
    </row>
    <row r="15" spans="1:18" x14ac:dyDescent="0.25">
      <c r="A15" s="11" t="s">
        <v>321</v>
      </c>
      <c r="B15" s="11" t="s">
        <v>322</v>
      </c>
      <c r="C15" s="13">
        <f>SUMIF(SIGAF!$B$2:$B$547,$A15,SIGAF!$F$2:$F$547)</f>
        <v>5000000</v>
      </c>
      <c r="D15" s="13">
        <f>SUMIF(SIGAF!$B$2:$B$547,$A15,SIGAF!$G$2:$G$547)</f>
        <v>5000000</v>
      </c>
      <c r="E15" s="13">
        <f>SUMIF(SIGAF!$B$2:$B$547,$A15,SIGAF!$H$2:$H$547)</f>
        <v>0</v>
      </c>
      <c r="F15" s="67">
        <f t="shared" si="1"/>
        <v>0</v>
      </c>
      <c r="G15" s="132">
        <f>SUMIF(SIGAF!$B$2:$B$547,$A15,SIGAF!$I$2:$I$547)</f>
        <v>0</v>
      </c>
      <c r="H15" s="67">
        <f t="shared" si="2"/>
        <v>0</v>
      </c>
      <c r="I15" s="13">
        <f>SUMIF(SIGAF!$B$2:$B$547,$A15,SIGAF!$J$2:$J$547)</f>
        <v>0</v>
      </c>
      <c r="J15" s="67">
        <f t="shared" si="2"/>
        <v>0</v>
      </c>
      <c r="K15" s="13">
        <f>SUMIF(SIGAF!$B$2:$B$547,$A15,SIGAF!$K$2:$K$547)</f>
        <v>1559350</v>
      </c>
      <c r="L15" s="142">
        <f t="shared" si="6"/>
        <v>0.31186999999999998</v>
      </c>
      <c r="M15" s="13">
        <f>SUMIF(SIGAF!$B$2:$B$547,$A15,SIGAF!$L$2:$L$547)</f>
        <v>1559350</v>
      </c>
      <c r="N15" s="67">
        <f t="shared" si="3"/>
        <v>0.31186999999999998</v>
      </c>
      <c r="O15" s="86">
        <f>SUMIF(SIGAF!$B$2:$B$547,$A15,SIGAF!$M$2:$M$547)</f>
        <v>3440650</v>
      </c>
      <c r="P15" s="67">
        <f t="shared" si="4"/>
        <v>0.68813000000000002</v>
      </c>
      <c r="Q15" s="13">
        <f>SUMIF(SIGAF!$B$2:$B$547,$A15,SIGAF!$N$2:$N$547)</f>
        <v>3440650</v>
      </c>
      <c r="R15" s="67">
        <f t="shared" si="5"/>
        <v>0.68813000000000002</v>
      </c>
    </row>
    <row r="16" spans="1:18" x14ac:dyDescent="0.25">
      <c r="A16" s="11" t="s">
        <v>98</v>
      </c>
      <c r="B16" s="11" t="s">
        <v>420</v>
      </c>
      <c r="C16" s="13">
        <f>SUMIF(SIGAF!$B$2:$B$547,$A16,SIGAF!$F$2:$F$547)</f>
        <v>3336396105</v>
      </c>
      <c r="D16" s="13">
        <f>SUMIF(SIGAF!$B$2:$B$547,$A16,SIGAF!$G$2:$G$547)</f>
        <v>3336396105</v>
      </c>
      <c r="E16" s="13">
        <f>SUMIF(SIGAF!$B$2:$B$547,$A16,SIGAF!$H$2:$H$547)</f>
        <v>0</v>
      </c>
      <c r="F16" s="67">
        <f t="shared" si="1"/>
        <v>0</v>
      </c>
      <c r="G16" s="132">
        <f>SUMIF(SIGAF!$B$2:$B$547,$A16,SIGAF!$I$2:$I$547)</f>
        <v>0</v>
      </c>
      <c r="H16" s="67">
        <f t="shared" si="2"/>
        <v>0</v>
      </c>
      <c r="I16" s="13">
        <f>SUMIF(SIGAF!$B$2:$B$547,$A16,SIGAF!$J$2:$J$547)</f>
        <v>0</v>
      </c>
      <c r="J16" s="67">
        <f t="shared" si="2"/>
        <v>0</v>
      </c>
      <c r="K16" s="13">
        <f>SUMIF(SIGAF!$B$2:$B$547,$A16,SIGAF!$K$2:$K$547)</f>
        <v>3255875051.25</v>
      </c>
      <c r="L16" s="142">
        <f t="shared" si="6"/>
        <v>0.97586585908389911</v>
      </c>
      <c r="M16" s="13">
        <f>SUMIF(SIGAF!$B$2:$B$547,$A16,SIGAF!$L$2:$L$547)</f>
        <v>3255875051.25</v>
      </c>
      <c r="N16" s="67">
        <f t="shared" si="3"/>
        <v>0.97586585908389911</v>
      </c>
      <c r="O16" s="86">
        <f>SUMIF(SIGAF!$B$2:$B$547,$A16,SIGAF!$M$2:$M$547)</f>
        <v>80521053.75</v>
      </c>
      <c r="P16" s="67">
        <f t="shared" si="4"/>
        <v>2.4134140916100846E-2</v>
      </c>
      <c r="Q16" s="13">
        <f>SUMIF(SIGAF!$B$2:$B$547,$A16,SIGAF!$N$2:$N$547)</f>
        <v>80521053.75</v>
      </c>
      <c r="R16" s="67">
        <f t="shared" si="5"/>
        <v>2.4134140916100846E-2</v>
      </c>
    </row>
    <row r="17" spans="1:18" x14ac:dyDescent="0.25">
      <c r="A17" s="11" t="s">
        <v>100</v>
      </c>
      <c r="B17" s="11" t="s">
        <v>421</v>
      </c>
      <c r="C17" s="13">
        <f>SUMIF(SIGAF!$B$2:$B$547,$A17,SIGAF!$F$2:$F$547)</f>
        <v>31000000</v>
      </c>
      <c r="D17" s="13">
        <f>SUMIF(SIGAF!$B$2:$B$547,$A17,SIGAF!$G$2:$G$547)</f>
        <v>31000000</v>
      </c>
      <c r="E17" s="13">
        <f>SUMIF(SIGAF!$B$2:$B$547,$A17,SIGAF!$H$2:$H$547)</f>
        <v>0</v>
      </c>
      <c r="F17" s="67">
        <f t="shared" si="1"/>
        <v>0</v>
      </c>
      <c r="G17" s="132">
        <f>SUMIF(SIGAF!$B$2:$B$547,$A17,SIGAF!$I$2:$I$547)</f>
        <v>0</v>
      </c>
      <c r="H17" s="67">
        <f t="shared" si="2"/>
        <v>0</v>
      </c>
      <c r="I17" s="13">
        <f>SUMIF(SIGAF!$B$2:$B$547,$A17,SIGAF!$J$2:$J$547)</f>
        <v>0</v>
      </c>
      <c r="J17" s="67">
        <f t="shared" si="2"/>
        <v>0</v>
      </c>
      <c r="K17" s="13">
        <f>SUMIF(SIGAF!$B$2:$B$547,$A17,SIGAF!$K$2:$K$547)</f>
        <v>18005019.91</v>
      </c>
      <c r="L17" s="142">
        <f t="shared" si="6"/>
        <v>0.58080709387096774</v>
      </c>
      <c r="M17" s="13">
        <f>SUMIF(SIGAF!$B$2:$B$547,$A17,SIGAF!$L$2:$L$547)</f>
        <v>18005019.91</v>
      </c>
      <c r="N17" s="67">
        <f t="shared" si="3"/>
        <v>0.58080709387096774</v>
      </c>
      <c r="O17" s="86">
        <f>SUMIF(SIGAF!$B$2:$B$547,$A17,SIGAF!$M$2:$M$547)</f>
        <v>12994980.09</v>
      </c>
      <c r="P17" s="67">
        <f t="shared" si="4"/>
        <v>0.41919290612903226</v>
      </c>
      <c r="Q17" s="13">
        <f>SUMIF(SIGAF!$B$2:$B$547,$A17,SIGAF!$N$2:$N$547)</f>
        <v>12994980.09</v>
      </c>
      <c r="R17" s="67">
        <f t="shared" si="5"/>
        <v>0.41919290612903226</v>
      </c>
    </row>
    <row r="18" spans="1:18" x14ac:dyDescent="0.25">
      <c r="A18" s="11" t="s">
        <v>358</v>
      </c>
      <c r="B18" s="11" t="s">
        <v>359</v>
      </c>
      <c r="C18" s="13">
        <f>SUMIF(SIGAF!$B$2:$B$547,$A18,SIGAF!$F$2:$F$547)</f>
        <v>29000000</v>
      </c>
      <c r="D18" s="13">
        <f>SUMIF(SIGAF!$B$2:$B$547,$A18,SIGAF!$G$2:$G$547)</f>
        <v>29000000</v>
      </c>
      <c r="E18" s="13">
        <f>SUMIF(SIGAF!$B$2:$B$547,$A18,SIGAF!$H$2:$H$547)</f>
        <v>0</v>
      </c>
      <c r="F18" s="67">
        <f t="shared" si="1"/>
        <v>0</v>
      </c>
      <c r="G18" s="132">
        <f>SUMIF(SIGAF!$B$2:$B$547,$A18,SIGAF!$I$2:$I$547)</f>
        <v>0</v>
      </c>
      <c r="H18" s="67">
        <f t="shared" si="2"/>
        <v>0</v>
      </c>
      <c r="I18" s="13">
        <f>SUMIF(SIGAF!$B$2:$B$547,$A18,SIGAF!$J$2:$J$547)</f>
        <v>0</v>
      </c>
      <c r="J18" s="67">
        <f t="shared" si="2"/>
        <v>0</v>
      </c>
      <c r="K18" s="13">
        <f>SUMIF(SIGAF!$B$2:$B$547,$A18,SIGAF!$K$2:$K$547)</f>
        <v>15215155</v>
      </c>
      <c r="L18" s="142">
        <f t="shared" si="6"/>
        <v>0.5246605172413793</v>
      </c>
      <c r="M18" s="13">
        <f>SUMIF(SIGAF!$B$2:$B$547,$A18,SIGAF!$L$2:$L$547)</f>
        <v>15215155</v>
      </c>
      <c r="N18" s="67">
        <f t="shared" si="3"/>
        <v>0.5246605172413793</v>
      </c>
      <c r="O18" s="86">
        <f>SUMIF(SIGAF!$B$2:$B$547,$A18,SIGAF!$M$2:$M$547)</f>
        <v>13784845</v>
      </c>
      <c r="P18" s="67">
        <f t="shared" si="4"/>
        <v>0.4753394827586207</v>
      </c>
      <c r="Q18" s="13">
        <f>SUMIF(SIGAF!$B$2:$B$547,$A18,SIGAF!$N$2:$N$547)</f>
        <v>13784845</v>
      </c>
      <c r="R18" s="67">
        <f t="shared" si="5"/>
        <v>0.4753394827586207</v>
      </c>
    </row>
    <row r="19" spans="1:18" x14ac:dyDescent="0.25">
      <c r="A19" s="11" t="s">
        <v>360</v>
      </c>
      <c r="B19" s="11" t="s">
        <v>422</v>
      </c>
      <c r="C19" s="13">
        <f>SUMIF(SIGAF!$B$2:$B$547,$A19,SIGAF!$F$2:$F$547)</f>
        <v>3276396105</v>
      </c>
      <c r="D19" s="13">
        <f>SUMIF(SIGAF!$B$2:$B$547,$A19,SIGAF!$G$2:$G$547)</f>
        <v>3276396105</v>
      </c>
      <c r="E19" s="13">
        <f>SUMIF(SIGAF!$B$2:$B$547,$A19,SIGAF!$H$2:$H$547)</f>
        <v>0</v>
      </c>
      <c r="F19" s="67">
        <f t="shared" si="1"/>
        <v>0</v>
      </c>
      <c r="G19" s="132">
        <f>SUMIF(SIGAF!$B$2:$B$547,$A19,SIGAF!$I$2:$I$547)</f>
        <v>0</v>
      </c>
      <c r="H19" s="67">
        <f t="shared" si="2"/>
        <v>0</v>
      </c>
      <c r="I19" s="13">
        <f>SUMIF(SIGAF!$B$2:$B$547,$A19,SIGAF!$J$2:$J$547)</f>
        <v>0</v>
      </c>
      <c r="J19" s="67">
        <f t="shared" si="2"/>
        <v>0</v>
      </c>
      <c r="K19" s="13">
        <f>SUMIF(SIGAF!$B$2:$B$547,$A19,SIGAF!$K$2:$K$547)</f>
        <v>3222654876.3400002</v>
      </c>
      <c r="L19" s="142">
        <f t="shared" si="6"/>
        <v>0.98359745679773358</v>
      </c>
      <c r="M19" s="13">
        <f>SUMIF(SIGAF!$B$2:$B$547,$A19,SIGAF!$L$2:$L$547)</f>
        <v>3222654876.3400002</v>
      </c>
      <c r="N19" s="67">
        <f t="shared" si="3"/>
        <v>0.98359745679773358</v>
      </c>
      <c r="O19" s="86">
        <f>SUMIF(SIGAF!$B$2:$B$547,$A19,SIGAF!$M$2:$M$547)</f>
        <v>53741228.659999996</v>
      </c>
      <c r="P19" s="67">
        <f t="shared" si="4"/>
        <v>1.6402543202266442E-2</v>
      </c>
      <c r="Q19" s="13">
        <f>SUMIF(SIGAF!$B$2:$B$547,$A19,SIGAF!$N$2:$N$547)</f>
        <v>53741228.659999996</v>
      </c>
      <c r="R19" s="67">
        <f t="shared" si="5"/>
        <v>1.6402543202266442E-2</v>
      </c>
    </row>
    <row r="20" spans="1:18" x14ac:dyDescent="0.25">
      <c r="A20" s="11" t="s">
        <v>102</v>
      </c>
      <c r="B20" s="11" t="s">
        <v>423</v>
      </c>
      <c r="C20" s="13">
        <f>SUMIF(SIGAF!$B$2:$B$547,$A20,SIGAF!$F$2:$F$547)</f>
        <v>38787164079.739998</v>
      </c>
      <c r="D20" s="13">
        <f>SUMIF(SIGAF!$B$2:$B$547,$A20,SIGAF!$G$2:$G$547)</f>
        <v>38787164079.739998</v>
      </c>
      <c r="E20" s="13">
        <f>SUMIF(SIGAF!$B$2:$B$547,$A20,SIGAF!$H$2:$H$547)</f>
        <v>0</v>
      </c>
      <c r="F20" s="67">
        <f t="shared" si="1"/>
        <v>0</v>
      </c>
      <c r="G20" s="132">
        <f>SUMIF(SIGAF!$B$2:$B$547,$A20,SIGAF!$I$2:$I$547)</f>
        <v>1010439.07</v>
      </c>
      <c r="H20" s="67">
        <f t="shared" si="2"/>
        <v>2.6050862288428828E-5</v>
      </c>
      <c r="I20" s="13">
        <f>SUMIF(SIGAF!$B$2:$B$547,$A20,SIGAF!$J$2:$J$547)</f>
        <v>0</v>
      </c>
      <c r="J20" s="67">
        <f t="shared" si="2"/>
        <v>0</v>
      </c>
      <c r="K20" s="13">
        <f>SUMIF(SIGAF!$B$2:$B$547,$A20,SIGAF!$K$2:$K$547)</f>
        <v>36972388629.300003</v>
      </c>
      <c r="L20" s="142">
        <f t="shared" si="6"/>
        <v>0.95321195829864958</v>
      </c>
      <c r="M20" s="13">
        <f>SUMIF(SIGAF!$B$2:$B$547,$A20,SIGAF!$L$2:$L$547)</f>
        <v>36972388629.300003</v>
      </c>
      <c r="N20" s="67">
        <f t="shared" si="3"/>
        <v>0.95321195829864958</v>
      </c>
      <c r="O20" s="86">
        <f>SUMIF(SIGAF!$B$2:$B$547,$A20,SIGAF!$M$2:$M$547)</f>
        <v>1813765011.3699999</v>
      </c>
      <c r="P20" s="67">
        <f t="shared" si="4"/>
        <v>4.6761990839062087E-2</v>
      </c>
      <c r="Q20" s="13">
        <f>SUMIF(SIGAF!$B$2:$B$547,$A20,SIGAF!$N$2:$N$547)</f>
        <v>1813765011.3699999</v>
      </c>
      <c r="R20" s="67">
        <f t="shared" si="5"/>
        <v>4.6761990839062087E-2</v>
      </c>
    </row>
    <row r="21" spans="1:18" x14ac:dyDescent="0.25">
      <c r="A21" s="11" t="s">
        <v>104</v>
      </c>
      <c r="B21" s="11" t="s">
        <v>424</v>
      </c>
      <c r="C21" s="13">
        <f>SUMIF(SIGAF!$B$2:$B$547,$A21,SIGAF!$F$2:$F$547)</f>
        <v>11079175713</v>
      </c>
      <c r="D21" s="13">
        <f>SUMIF(SIGAF!$B$2:$B$547,$A21,SIGAF!$G$2:$G$547)</f>
        <v>11079175713</v>
      </c>
      <c r="E21" s="13">
        <f>SUMIF(SIGAF!$B$2:$B$547,$A21,SIGAF!$H$2:$H$547)</f>
        <v>0</v>
      </c>
      <c r="F21" s="67">
        <f t="shared" si="1"/>
        <v>0</v>
      </c>
      <c r="G21" s="132">
        <f>SUMIF(SIGAF!$B$2:$B$547,$A21,SIGAF!$I$2:$I$547)</f>
        <v>369693.64</v>
      </c>
      <c r="H21" s="67">
        <f t="shared" si="2"/>
        <v>3.3368334393885611E-5</v>
      </c>
      <c r="I21" s="13">
        <f>SUMIF(SIGAF!$B$2:$B$547,$A21,SIGAF!$J$2:$J$547)</f>
        <v>0</v>
      </c>
      <c r="J21" s="67">
        <f t="shared" si="2"/>
        <v>0</v>
      </c>
      <c r="K21" s="13">
        <f>SUMIF(SIGAF!$B$2:$B$547,$A21,SIGAF!$K$2:$K$547)</f>
        <v>10814490385.35</v>
      </c>
      <c r="L21" s="142">
        <f t="shared" si="6"/>
        <v>0.97610965522106263</v>
      </c>
      <c r="M21" s="13">
        <f>SUMIF(SIGAF!$B$2:$B$547,$A21,SIGAF!$L$2:$L$547)</f>
        <v>10814490385.35</v>
      </c>
      <c r="N21" s="67">
        <f t="shared" si="3"/>
        <v>0.97610965522106263</v>
      </c>
      <c r="O21" s="86">
        <f>SUMIF(SIGAF!$B$2:$B$547,$A21,SIGAF!$M$2:$M$547)</f>
        <v>264315634.00999999</v>
      </c>
      <c r="P21" s="67">
        <f t="shared" si="4"/>
        <v>2.385697644454355E-2</v>
      </c>
      <c r="Q21" s="13">
        <f>SUMIF(SIGAF!$B$2:$B$547,$A21,SIGAF!$N$2:$N$547)</f>
        <v>264315634.00999999</v>
      </c>
      <c r="R21" s="67">
        <f t="shared" si="5"/>
        <v>2.385697644454355E-2</v>
      </c>
    </row>
    <row r="22" spans="1:18" x14ac:dyDescent="0.25">
      <c r="A22" s="11" t="s">
        <v>106</v>
      </c>
      <c r="B22" s="11" t="s">
        <v>425</v>
      </c>
      <c r="C22" s="13">
        <f>SUMIF(SIGAF!$B$2:$B$547,$A22,SIGAF!$F$2:$F$547)</f>
        <v>8120006169.5</v>
      </c>
      <c r="D22" s="13">
        <f>SUMIF(SIGAF!$B$2:$B$547,$A22,SIGAF!$G$2:$G$547)</f>
        <v>8120006169.5</v>
      </c>
      <c r="E22" s="13">
        <f>SUMIF(SIGAF!$B$2:$B$547,$A22,SIGAF!$H$2:$H$547)</f>
        <v>0</v>
      </c>
      <c r="F22" s="67">
        <f t="shared" si="1"/>
        <v>0</v>
      </c>
      <c r="G22" s="132">
        <f>SUMIF(SIGAF!$B$2:$B$547,$A22,SIGAF!$I$2:$I$547)</f>
        <v>274282.77</v>
      </c>
      <c r="H22" s="67">
        <f t="shared" si="2"/>
        <v>3.3778640591462668E-5</v>
      </c>
      <c r="I22" s="13">
        <f>SUMIF(SIGAF!$B$2:$B$547,$A22,SIGAF!$J$2:$J$547)</f>
        <v>0</v>
      </c>
      <c r="J22" s="67">
        <f t="shared" si="2"/>
        <v>0</v>
      </c>
      <c r="K22" s="13">
        <f>SUMIF(SIGAF!$B$2:$B$547,$A22,SIGAF!$K$2:$K$547)</f>
        <v>7440513191.8999996</v>
      </c>
      <c r="L22" s="142">
        <f t="shared" si="6"/>
        <v>0.91631866239803106</v>
      </c>
      <c r="M22" s="13">
        <f>SUMIF(SIGAF!$B$2:$B$547,$A22,SIGAF!$L$2:$L$547)</f>
        <v>7440513191.8999996</v>
      </c>
      <c r="N22" s="67">
        <f t="shared" si="3"/>
        <v>0.91631866239803106</v>
      </c>
      <c r="O22" s="86">
        <f>SUMIF(SIGAF!$B$2:$B$547,$A22,SIGAF!$M$2:$M$547)</f>
        <v>679218694.83000004</v>
      </c>
      <c r="P22" s="67">
        <f t="shared" si="4"/>
        <v>8.3647558961377461E-2</v>
      </c>
      <c r="Q22" s="13">
        <f>SUMIF(SIGAF!$B$2:$B$547,$A22,SIGAF!$N$2:$N$547)</f>
        <v>679218694.83000004</v>
      </c>
      <c r="R22" s="67">
        <f t="shared" si="5"/>
        <v>8.3647558961377461E-2</v>
      </c>
    </row>
    <row r="23" spans="1:18" x14ac:dyDescent="0.25">
      <c r="A23" s="11" t="s">
        <v>112</v>
      </c>
      <c r="B23" s="11" t="s">
        <v>113</v>
      </c>
      <c r="C23" s="13">
        <f>SUMIF(SIGAF!$B$2:$B$547,$A23,SIGAF!$F$2:$F$547)</f>
        <v>5596807551.5100002</v>
      </c>
      <c r="D23" s="13">
        <f>SUMIF(SIGAF!$B$2:$B$547,$A23,SIGAF!$G$2:$G$547)</f>
        <v>5596807551.5100002</v>
      </c>
      <c r="E23" s="13">
        <f>SUMIF(SIGAF!$B$2:$B$547,$A23,SIGAF!$H$2:$H$547)</f>
        <v>0</v>
      </c>
      <c r="F23" s="67">
        <f t="shared" si="1"/>
        <v>0</v>
      </c>
      <c r="G23" s="132">
        <f>SUMIF(SIGAF!$B$2:$B$547,$A23,SIGAF!$I$2:$I$547)</f>
        <v>0</v>
      </c>
      <c r="H23" s="67">
        <f t="shared" si="2"/>
        <v>0</v>
      </c>
      <c r="I23" s="13">
        <f>SUMIF(SIGAF!$B$2:$B$547,$A23,SIGAF!$J$2:$J$547)</f>
        <v>0</v>
      </c>
      <c r="J23" s="67">
        <f t="shared" si="2"/>
        <v>0</v>
      </c>
      <c r="K23" s="13">
        <f>SUMIF(SIGAF!$B$2:$B$547,$A23,SIGAF!$K$2:$K$547)</f>
        <v>5360358227.8699999</v>
      </c>
      <c r="L23" s="142">
        <f t="shared" si="6"/>
        <v>0.95775282221805047</v>
      </c>
      <c r="M23" s="13">
        <f>SUMIF(SIGAF!$B$2:$B$547,$A23,SIGAF!$L$2:$L$547)</f>
        <v>5360358227.8699999</v>
      </c>
      <c r="N23" s="67">
        <f t="shared" si="3"/>
        <v>0.95775282221805047</v>
      </c>
      <c r="O23" s="86">
        <f>SUMIF(SIGAF!$B$2:$B$547,$A23,SIGAF!$M$2:$M$547)</f>
        <v>236449323.63999999</v>
      </c>
      <c r="P23" s="67">
        <f t="shared" si="4"/>
        <v>4.2247177781949412E-2</v>
      </c>
      <c r="Q23" s="13">
        <f>SUMIF(SIGAF!$B$2:$B$547,$A23,SIGAF!$N$2:$N$547)</f>
        <v>236449323.63999999</v>
      </c>
      <c r="R23" s="67">
        <f t="shared" si="5"/>
        <v>4.2247177781949412E-2</v>
      </c>
    </row>
    <row r="24" spans="1:18" x14ac:dyDescent="0.25">
      <c r="A24" s="11" t="s">
        <v>108</v>
      </c>
      <c r="B24" s="11" t="s">
        <v>109</v>
      </c>
      <c r="C24" s="13">
        <f>SUMIF(SIGAF!$B$2:$B$547,$A24,SIGAF!$F$2:$F$547)</f>
        <v>4696067006.7299995</v>
      </c>
      <c r="D24" s="13">
        <f>SUMIF(SIGAF!$B$2:$B$547,$A24,SIGAF!$G$2:$G$547)</f>
        <v>4696067006.7299995</v>
      </c>
      <c r="E24" s="13">
        <f>SUMIF(SIGAF!$B$2:$B$547,$A24,SIGAF!$H$2:$H$547)</f>
        <v>0</v>
      </c>
      <c r="F24" s="67">
        <f t="shared" si="1"/>
        <v>0</v>
      </c>
      <c r="G24" s="132">
        <f>SUMIF(SIGAF!$B$2:$B$547,$A24,SIGAF!$I$2:$I$547)</f>
        <v>137893.68</v>
      </c>
      <c r="H24" s="67">
        <f t="shared" si="2"/>
        <v>2.9363652563386049E-5</v>
      </c>
      <c r="I24" s="13">
        <f>SUMIF(SIGAF!$B$2:$B$547,$A24,SIGAF!$J$2:$J$547)</f>
        <v>0</v>
      </c>
      <c r="J24" s="67">
        <f t="shared" si="2"/>
        <v>0</v>
      </c>
      <c r="K24" s="13">
        <f>SUMIF(SIGAF!$B$2:$B$547,$A24,SIGAF!$K$2:$K$547)</f>
        <v>4609585640.8800001</v>
      </c>
      <c r="L24" s="142">
        <f t="shared" si="6"/>
        <v>0.9815842990046646</v>
      </c>
      <c r="M24" s="13">
        <f>SUMIF(SIGAF!$B$2:$B$547,$A24,SIGAF!$L$2:$L$547)</f>
        <v>4609585640.8800001</v>
      </c>
      <c r="N24" s="67">
        <f t="shared" si="3"/>
        <v>0.9815842990046646</v>
      </c>
      <c r="O24" s="86">
        <f>SUMIF(SIGAF!$B$2:$B$547,$A24,SIGAF!$M$2:$M$547)</f>
        <v>86343472.169999987</v>
      </c>
      <c r="P24" s="67">
        <f t="shared" si="4"/>
        <v>1.8386337342772143E-2</v>
      </c>
      <c r="Q24" s="13">
        <f>SUMIF(SIGAF!$B$2:$B$547,$A24,SIGAF!$N$2:$N$547)</f>
        <v>86343472.169999987</v>
      </c>
      <c r="R24" s="67">
        <f t="shared" si="5"/>
        <v>1.8386337342772143E-2</v>
      </c>
    </row>
    <row r="25" spans="1:18" x14ac:dyDescent="0.25">
      <c r="A25" s="11" t="s">
        <v>110</v>
      </c>
      <c r="B25" s="11" t="s">
        <v>426</v>
      </c>
      <c r="C25" s="13">
        <f>SUMIF(SIGAF!$B$2:$B$547,$A25,SIGAF!$F$2:$F$547)</f>
        <v>9295107639</v>
      </c>
      <c r="D25" s="13">
        <f>SUMIF(SIGAF!$B$2:$B$547,$A25,SIGAF!$G$2:$G$547)</f>
        <v>9295107639</v>
      </c>
      <c r="E25" s="13">
        <f>SUMIF(SIGAF!$B$2:$B$547,$A25,SIGAF!$H$2:$H$547)</f>
        <v>0</v>
      </c>
      <c r="F25" s="67">
        <f t="shared" si="1"/>
        <v>0</v>
      </c>
      <c r="G25" s="132">
        <f>SUMIF(SIGAF!$B$2:$B$547,$A25,SIGAF!$I$2:$I$547)</f>
        <v>228568.98</v>
      </c>
      <c r="H25" s="67">
        <f t="shared" si="2"/>
        <v>2.4590245629967795E-5</v>
      </c>
      <c r="I25" s="13">
        <f>SUMIF(SIGAF!$B$2:$B$547,$A25,SIGAF!$J$2:$J$547)</f>
        <v>0</v>
      </c>
      <c r="J25" s="67">
        <f t="shared" si="2"/>
        <v>0</v>
      </c>
      <c r="K25" s="13">
        <f>SUMIF(SIGAF!$B$2:$B$547,$A25,SIGAF!$K$2:$K$547)</f>
        <v>8747441183.2999992</v>
      </c>
      <c r="L25" s="142">
        <f t="shared" si="6"/>
        <v>0.94108013839429616</v>
      </c>
      <c r="M25" s="13">
        <f>SUMIF(SIGAF!$B$2:$B$547,$A25,SIGAF!$L$2:$L$547)</f>
        <v>8747441183.2999992</v>
      </c>
      <c r="N25" s="67">
        <f t="shared" si="3"/>
        <v>0.94108013839429616</v>
      </c>
      <c r="O25" s="86">
        <f>SUMIF(SIGAF!$B$2:$B$547,$A25,SIGAF!$M$2:$M$547)</f>
        <v>547437886.72000003</v>
      </c>
      <c r="P25" s="67">
        <f t="shared" si="4"/>
        <v>5.8895271360073817E-2</v>
      </c>
      <c r="Q25" s="13">
        <f>SUMIF(SIGAF!$B$2:$B$547,$A25,SIGAF!$N$2:$N$547)</f>
        <v>547437886.72000003</v>
      </c>
      <c r="R25" s="67">
        <f t="shared" si="5"/>
        <v>5.8895271360073817E-2</v>
      </c>
    </row>
    <row r="26" spans="1:18" x14ac:dyDescent="0.25">
      <c r="A26" s="11" t="s">
        <v>114</v>
      </c>
      <c r="B26" s="11" t="s">
        <v>427</v>
      </c>
      <c r="C26" s="13">
        <f>SUMIF(SIGAF!$B$2:$B$547,$A26,SIGAF!$F$2:$F$547)</f>
        <v>6613396228.0500002</v>
      </c>
      <c r="D26" s="13">
        <f>SUMIF(SIGAF!$B$2:$B$547,$A26,SIGAF!$G$2:$G$547)</f>
        <v>6613396228.0500002</v>
      </c>
      <c r="E26" s="13">
        <f>SUMIF(SIGAF!$B$2:$B$547,$A26,SIGAF!$H$2:$H$547)</f>
        <v>0</v>
      </c>
      <c r="F26" s="67">
        <f t="shared" si="1"/>
        <v>0</v>
      </c>
      <c r="G26" s="132">
        <f>SUMIF(SIGAF!$B$2:$B$547,$A26,SIGAF!$I$2:$I$547)</f>
        <v>0</v>
      </c>
      <c r="H26" s="67">
        <f t="shared" si="2"/>
        <v>0</v>
      </c>
      <c r="I26" s="13">
        <f>SUMIF(SIGAF!$B$2:$B$547,$A26,SIGAF!$J$2:$J$547)</f>
        <v>0</v>
      </c>
      <c r="J26" s="67">
        <f t="shared" si="2"/>
        <v>0</v>
      </c>
      <c r="K26" s="13">
        <f>SUMIF(SIGAF!$B$2:$B$547,$A26,SIGAF!$K$2:$K$547)</f>
        <v>6235494699.1099997</v>
      </c>
      <c r="L26" s="142">
        <f t="shared" si="6"/>
        <v>0.94285817514801662</v>
      </c>
      <c r="M26" s="13">
        <f>SUMIF(SIGAF!$B$2:$B$547,$A26,SIGAF!$L$2:$L$547)</f>
        <v>6235494699.1099997</v>
      </c>
      <c r="N26" s="67">
        <f t="shared" si="3"/>
        <v>0.94285817514801662</v>
      </c>
      <c r="O26" s="86">
        <f>SUMIF(SIGAF!$B$2:$B$547,$A26,SIGAF!$M$2:$M$547)</f>
        <v>377901528.94</v>
      </c>
      <c r="P26" s="67">
        <f t="shared" si="4"/>
        <v>5.7141824851983283E-2</v>
      </c>
      <c r="Q26" s="13">
        <f>SUMIF(SIGAF!$B$2:$B$547,$A26,SIGAF!$N$2:$N$547)</f>
        <v>377901528.94</v>
      </c>
      <c r="R26" s="67">
        <f t="shared" si="5"/>
        <v>5.7141824851983283E-2</v>
      </c>
    </row>
    <row r="27" spans="1:18" x14ac:dyDescent="0.25">
      <c r="A27" s="11" t="s">
        <v>405</v>
      </c>
      <c r="B27" s="11" t="s">
        <v>428</v>
      </c>
      <c r="C27" s="13">
        <f>SUM(C28:C32)</f>
        <v>6274243912.4300003</v>
      </c>
      <c r="D27" s="13">
        <f t="shared" ref="D27:G27" si="7">SUM(D28:D32)</f>
        <v>6274243912.4300003</v>
      </c>
      <c r="E27" s="13">
        <f t="shared" si="7"/>
        <v>0</v>
      </c>
      <c r="F27" s="67">
        <f t="shared" si="1"/>
        <v>0</v>
      </c>
      <c r="G27" s="132">
        <f t="shared" si="7"/>
        <v>0</v>
      </c>
      <c r="H27" s="67">
        <f t="shared" si="2"/>
        <v>0</v>
      </c>
      <c r="I27" s="13">
        <f t="shared" ref="I27" si="8">SUM(I28:I32)</f>
        <v>0</v>
      </c>
      <c r="J27" s="67">
        <f t="shared" si="2"/>
        <v>0</v>
      </c>
      <c r="K27" s="13">
        <f t="shared" ref="K27:Q27" si="9">SUM(K28:K32)</f>
        <v>5915752656.0299997</v>
      </c>
      <c r="L27" s="142">
        <f t="shared" si="6"/>
        <v>0.94286303474912925</v>
      </c>
      <c r="M27" s="13">
        <f t="shared" si="9"/>
        <v>5915752656.0299997</v>
      </c>
      <c r="N27" s="67">
        <f t="shared" si="3"/>
        <v>0.94286303474912925</v>
      </c>
      <c r="O27" s="13">
        <f t="shared" si="9"/>
        <v>358491256.39999998</v>
      </c>
      <c r="P27" s="67">
        <f t="shared" si="4"/>
        <v>5.7136965250870704E-2</v>
      </c>
      <c r="Q27" s="13">
        <f t="shared" si="9"/>
        <v>358491256.39999998</v>
      </c>
      <c r="R27" s="67">
        <f t="shared" si="5"/>
        <v>5.7136965250870704E-2</v>
      </c>
    </row>
    <row r="28" spans="1:18" x14ac:dyDescent="0.25">
      <c r="A28" s="11" t="s">
        <v>116</v>
      </c>
      <c r="B28" s="11" t="s">
        <v>429</v>
      </c>
      <c r="C28" s="13">
        <f>SUMIF(SIGAF!$B$2:$B$547,$A28,SIGAF!$F$2:$F$547)</f>
        <v>115984317</v>
      </c>
      <c r="D28" s="13">
        <f>SUMIF(SIGAF!$B$2:$B$547,$A28,SIGAF!$G$2:$G$547)</f>
        <v>115984317</v>
      </c>
      <c r="E28" s="13">
        <f>SUMIF(SIGAF!$B$2:$B$547,$A28,SIGAF!$H$2:$H$547)</f>
        <v>0</v>
      </c>
      <c r="F28" s="67">
        <f t="shared" si="1"/>
        <v>0</v>
      </c>
      <c r="G28" s="132">
        <f>SUMIF(SIGAF!$B$2:$B$547,$A28,SIGAF!$I$2:$I$547)</f>
        <v>0</v>
      </c>
      <c r="H28" s="67">
        <f t="shared" si="2"/>
        <v>0</v>
      </c>
      <c r="I28" s="13">
        <f>SUMIF(SIGAF!$B$2:$B$547,$A28,SIGAF!$J$2:$J$547)</f>
        <v>0</v>
      </c>
      <c r="J28" s="67">
        <f t="shared" si="2"/>
        <v>0</v>
      </c>
      <c r="K28" s="13">
        <f>SUMIF(SIGAF!$B$2:$B$547,$A28,SIGAF!$K$2:$K$547)</f>
        <v>101582874</v>
      </c>
      <c r="L28" s="142">
        <f t="shared" si="6"/>
        <v>0.87583284212468138</v>
      </c>
      <c r="M28" s="13">
        <f>SUMIF(SIGAF!$B$2:$B$547,$A28,SIGAF!$L$2:$L$547)</f>
        <v>101582874</v>
      </c>
      <c r="N28" s="67">
        <f t="shared" si="3"/>
        <v>0.87583284212468138</v>
      </c>
      <c r="O28" s="86">
        <f>SUMIF(SIGAF!$B$2:$B$547,$A28,SIGAF!$M$2:$M$547)</f>
        <v>14401443</v>
      </c>
      <c r="P28" s="67">
        <f t="shared" si="4"/>
        <v>0.12416715787531861</v>
      </c>
      <c r="Q28" s="13">
        <f>SUMIF(SIGAF!$B$2:$B$547,$A28,SIGAF!$N$2:$N$547)</f>
        <v>14401443</v>
      </c>
      <c r="R28" s="67">
        <f t="shared" si="5"/>
        <v>0.12416715787531861</v>
      </c>
    </row>
    <row r="29" spans="1:18" x14ac:dyDescent="0.25">
      <c r="A29" s="11" t="s">
        <v>308</v>
      </c>
      <c r="B29" s="11" t="s">
        <v>429</v>
      </c>
      <c r="C29" s="13">
        <f>SUMIF(SIGAF!$B$2:$B$547,$A29,SIGAF!$F$2:$F$547)</f>
        <v>68127141.430000007</v>
      </c>
      <c r="D29" s="13">
        <f>SUMIF(SIGAF!$B$2:$B$547,$A29,SIGAF!$G$2:$G$547)</f>
        <v>68127141.430000007</v>
      </c>
      <c r="E29" s="13">
        <f>SUMIF(SIGAF!$B$2:$B$547,$A29,SIGAF!$H$2:$H$547)</f>
        <v>0</v>
      </c>
      <c r="F29" s="67">
        <f t="shared" si="1"/>
        <v>0</v>
      </c>
      <c r="G29" s="132">
        <f>SUMIF(SIGAF!$B$2:$B$547,$A29,SIGAF!$I$2:$I$547)</f>
        <v>0</v>
      </c>
      <c r="H29" s="67">
        <f t="shared" si="2"/>
        <v>0</v>
      </c>
      <c r="I29" s="13">
        <f>SUMIF(SIGAF!$B$2:$B$547,$A29,SIGAF!$J$2:$J$547)</f>
        <v>0</v>
      </c>
      <c r="J29" s="67">
        <f t="shared" si="2"/>
        <v>0</v>
      </c>
      <c r="K29" s="13">
        <f>SUMIF(SIGAF!$B$2:$B$547,$A29,SIGAF!$K$2:$K$547)</f>
        <v>53338704</v>
      </c>
      <c r="L29" s="142">
        <f t="shared" si="6"/>
        <v>0.78292884275505692</v>
      </c>
      <c r="M29" s="13">
        <f>SUMIF(SIGAF!$B$2:$B$547,$A29,SIGAF!$L$2:$L$547)</f>
        <v>53338704</v>
      </c>
      <c r="N29" s="67">
        <f t="shared" si="3"/>
        <v>0.78292884275505692</v>
      </c>
      <c r="O29" s="86">
        <f>SUMIF(SIGAF!$B$2:$B$547,$A29,SIGAF!$M$2:$M$547)</f>
        <v>14788437.43</v>
      </c>
      <c r="P29" s="67">
        <f t="shared" si="4"/>
        <v>0.21707115724494297</v>
      </c>
      <c r="Q29" s="13">
        <f>SUMIF(SIGAF!$B$2:$B$547,$A29,SIGAF!$N$2:$N$547)</f>
        <v>14788437.43</v>
      </c>
      <c r="R29" s="67">
        <f t="shared" si="5"/>
        <v>0.21707115724494297</v>
      </c>
    </row>
    <row r="30" spans="1:18" x14ac:dyDescent="0.25">
      <c r="A30" s="11" t="s">
        <v>323</v>
      </c>
      <c r="B30" s="11" t="s">
        <v>429</v>
      </c>
      <c r="C30" s="13">
        <f>SUMIF(SIGAF!$B$2:$B$547,$A30,SIGAF!$F$2:$F$547)</f>
        <v>597905076</v>
      </c>
      <c r="D30" s="13">
        <f>SUMIF(SIGAF!$B$2:$B$547,$A30,SIGAF!$G$2:$G$547)</f>
        <v>597905076</v>
      </c>
      <c r="E30" s="13">
        <f>SUMIF(SIGAF!$B$2:$B$547,$A30,SIGAF!$H$2:$H$547)</f>
        <v>0</v>
      </c>
      <c r="F30" s="67">
        <f t="shared" si="1"/>
        <v>0</v>
      </c>
      <c r="G30" s="132">
        <f>SUMIF(SIGAF!$B$2:$B$547,$A30,SIGAF!$I$2:$I$547)</f>
        <v>0</v>
      </c>
      <c r="H30" s="67">
        <f t="shared" si="2"/>
        <v>0</v>
      </c>
      <c r="I30" s="13">
        <f>SUMIF(SIGAF!$B$2:$B$547,$A30,SIGAF!$J$2:$J$547)</f>
        <v>0</v>
      </c>
      <c r="J30" s="67">
        <f t="shared" si="2"/>
        <v>0</v>
      </c>
      <c r="K30" s="13">
        <f>SUMIF(SIGAF!$B$2:$B$547,$A30,SIGAF!$K$2:$K$547)</f>
        <v>544334623</v>
      </c>
      <c r="L30" s="142">
        <f t="shared" si="6"/>
        <v>0.91040308043813967</v>
      </c>
      <c r="M30" s="13">
        <f>SUMIF(SIGAF!$B$2:$B$547,$A30,SIGAF!$L$2:$L$547)</f>
        <v>544334623</v>
      </c>
      <c r="N30" s="67">
        <f t="shared" si="3"/>
        <v>0.91040308043813967</v>
      </c>
      <c r="O30" s="86">
        <f>SUMIF(SIGAF!$B$2:$B$547,$A30,SIGAF!$M$2:$M$547)</f>
        <v>53570453</v>
      </c>
      <c r="P30" s="67">
        <f t="shared" si="4"/>
        <v>8.9596919561860347E-2</v>
      </c>
      <c r="Q30" s="13">
        <f>SUMIF(SIGAF!$B$2:$B$547,$A30,SIGAF!$N$2:$N$547)</f>
        <v>53570453</v>
      </c>
      <c r="R30" s="67">
        <f t="shared" si="5"/>
        <v>8.9596919561860347E-2</v>
      </c>
    </row>
    <row r="31" spans="1:18" x14ac:dyDescent="0.25">
      <c r="A31" s="11" t="s">
        <v>362</v>
      </c>
      <c r="B31" s="11" t="s">
        <v>429</v>
      </c>
      <c r="C31" s="13">
        <f>SUMIF(SIGAF!$B$2:$B$547,$A31,SIGAF!$F$2:$F$547)</f>
        <v>4570021406</v>
      </c>
      <c r="D31" s="13">
        <f>SUMIF(SIGAF!$B$2:$B$547,$A31,SIGAF!$G$2:$G$547)</f>
        <v>4570021406</v>
      </c>
      <c r="E31" s="13">
        <f>SUMIF(SIGAF!$B$2:$B$547,$A31,SIGAF!$H$2:$H$547)</f>
        <v>0</v>
      </c>
      <c r="F31" s="67">
        <f t="shared" si="1"/>
        <v>0</v>
      </c>
      <c r="G31" s="132">
        <f>SUMIF(SIGAF!$B$2:$B$547,$A31,SIGAF!$I$2:$I$547)</f>
        <v>0</v>
      </c>
      <c r="H31" s="67">
        <f t="shared" si="2"/>
        <v>0</v>
      </c>
      <c r="I31" s="13">
        <f>SUMIF(SIGAF!$B$2:$B$547,$A31,SIGAF!$J$2:$J$547)</f>
        <v>0</v>
      </c>
      <c r="J31" s="67">
        <f t="shared" si="2"/>
        <v>0</v>
      </c>
      <c r="K31" s="13">
        <f>SUMIF(SIGAF!$B$2:$B$547,$A31,SIGAF!$K$2:$K$547)</f>
        <v>4352011365</v>
      </c>
      <c r="L31" s="142">
        <f t="shared" si="6"/>
        <v>0.95229561929102269</v>
      </c>
      <c r="M31" s="13">
        <f>SUMIF(SIGAF!$B$2:$B$547,$A31,SIGAF!$L$2:$L$547)</f>
        <v>4352011365</v>
      </c>
      <c r="N31" s="67">
        <f t="shared" si="3"/>
        <v>0.95229561929102269</v>
      </c>
      <c r="O31" s="86">
        <f>SUMIF(SIGAF!$B$2:$B$547,$A31,SIGAF!$M$2:$M$547)</f>
        <v>218010041</v>
      </c>
      <c r="P31" s="67">
        <f t="shared" si="4"/>
        <v>4.7704380708977361E-2</v>
      </c>
      <c r="Q31" s="13">
        <f>SUMIF(SIGAF!$B$2:$B$547,$A31,SIGAF!$N$2:$N$547)</f>
        <v>218010041</v>
      </c>
      <c r="R31" s="67">
        <f t="shared" si="5"/>
        <v>4.7704380708977361E-2</v>
      </c>
    </row>
    <row r="32" spans="1:18" x14ac:dyDescent="0.25">
      <c r="A32" s="11" t="s">
        <v>395</v>
      </c>
      <c r="B32" s="11" t="s">
        <v>429</v>
      </c>
      <c r="C32" s="13">
        <f>SUMIF(SIGAF!$B$2:$B$547,$A32,SIGAF!$F$2:$F$547)</f>
        <v>922205972</v>
      </c>
      <c r="D32" s="13">
        <f>SUMIF(SIGAF!$B$2:$B$547,$A32,SIGAF!$G$2:$G$547)</f>
        <v>922205972</v>
      </c>
      <c r="E32" s="13">
        <f>SUMIF(SIGAF!$B$2:$B$547,$A32,SIGAF!$H$2:$H$547)</f>
        <v>0</v>
      </c>
      <c r="F32" s="67">
        <f t="shared" si="1"/>
        <v>0</v>
      </c>
      <c r="G32" s="132">
        <f>SUMIF(SIGAF!$B$2:$B$547,$A32,SIGAF!$I$2:$I$547)</f>
        <v>0</v>
      </c>
      <c r="H32" s="67">
        <f t="shared" si="2"/>
        <v>0</v>
      </c>
      <c r="I32" s="13">
        <f>SUMIF(SIGAF!$B$2:$B$547,$A32,SIGAF!$J$2:$J$547)</f>
        <v>0</v>
      </c>
      <c r="J32" s="67">
        <f t="shared" si="2"/>
        <v>0</v>
      </c>
      <c r="K32" s="13">
        <f>SUMIF(SIGAF!$B$2:$B$547,$A32,SIGAF!$K$2:$K$547)</f>
        <v>864485090.02999997</v>
      </c>
      <c r="L32" s="142">
        <f t="shared" si="6"/>
        <v>0.93740998895851868</v>
      </c>
      <c r="M32" s="13">
        <f>SUMIF(SIGAF!$B$2:$B$547,$A32,SIGAF!$L$2:$L$547)</f>
        <v>864485090.02999997</v>
      </c>
      <c r="N32" s="67">
        <f t="shared" si="3"/>
        <v>0.93740998895851868</v>
      </c>
      <c r="O32" s="86">
        <f>SUMIF(SIGAF!$B$2:$B$547,$A32,SIGAF!$M$2:$M$547)</f>
        <v>57720881.969999999</v>
      </c>
      <c r="P32" s="67">
        <f t="shared" si="4"/>
        <v>6.2590011041481305E-2</v>
      </c>
      <c r="Q32" s="13">
        <f>SUMIF(SIGAF!$B$2:$B$547,$A32,SIGAF!$N$2:$N$547)</f>
        <v>57720881.969999999</v>
      </c>
      <c r="R32" s="67">
        <f t="shared" si="5"/>
        <v>6.2590011041481305E-2</v>
      </c>
    </row>
    <row r="33" spans="1:18" x14ac:dyDescent="0.25">
      <c r="A33" s="11" t="s">
        <v>406</v>
      </c>
      <c r="B33" s="11" t="s">
        <v>430</v>
      </c>
      <c r="C33" s="13">
        <f>SUM(C34:C38)</f>
        <v>339152315.62</v>
      </c>
      <c r="D33" s="13">
        <f t="shared" ref="D33:G33" si="10">SUM(D34:D38)</f>
        <v>339152315.62</v>
      </c>
      <c r="E33" s="13">
        <f t="shared" si="10"/>
        <v>0</v>
      </c>
      <c r="F33" s="67">
        <f t="shared" si="1"/>
        <v>0</v>
      </c>
      <c r="G33" s="132">
        <f t="shared" si="10"/>
        <v>0</v>
      </c>
      <c r="H33" s="67">
        <f t="shared" si="2"/>
        <v>0</v>
      </c>
      <c r="I33" s="13">
        <f t="shared" ref="I33" si="11">SUM(I34:I38)</f>
        <v>0</v>
      </c>
      <c r="J33" s="67">
        <f t="shared" si="2"/>
        <v>0</v>
      </c>
      <c r="K33" s="13">
        <f t="shared" ref="K33:Q33" si="12">SUM(K34:K38)</f>
        <v>319742043.07999998</v>
      </c>
      <c r="L33" s="142">
        <f t="shared" si="6"/>
        <v>0.9427682735867029</v>
      </c>
      <c r="M33" s="13">
        <f t="shared" si="12"/>
        <v>319742043.07999998</v>
      </c>
      <c r="N33" s="67">
        <f t="shared" si="3"/>
        <v>0.9427682735867029</v>
      </c>
      <c r="O33" s="13">
        <f t="shared" si="12"/>
        <v>19410272.539999999</v>
      </c>
      <c r="P33" s="67">
        <f t="shared" si="4"/>
        <v>5.7231726413297011E-2</v>
      </c>
      <c r="Q33" s="13">
        <f t="shared" si="12"/>
        <v>19410272.539999999</v>
      </c>
      <c r="R33" s="67">
        <f t="shared" si="5"/>
        <v>5.7231726413297011E-2</v>
      </c>
    </row>
    <row r="34" spans="1:18" x14ac:dyDescent="0.25">
      <c r="A34" s="11" t="s">
        <v>117</v>
      </c>
      <c r="B34" s="11" t="s">
        <v>431</v>
      </c>
      <c r="C34" s="13">
        <f>SUMIF(SIGAF!$B$2:$B$547,$A34,SIGAF!$F$2:$F$547)</f>
        <v>6269963</v>
      </c>
      <c r="D34" s="13">
        <f>SUMIF(SIGAF!$B$2:$B$547,$A34,SIGAF!$G$2:$G$547)</f>
        <v>6269963</v>
      </c>
      <c r="E34" s="13">
        <f>SUMIF(SIGAF!$B$2:$B$547,$A34,SIGAF!$H$2:$H$547)</f>
        <v>0</v>
      </c>
      <c r="F34" s="67">
        <f t="shared" si="1"/>
        <v>0</v>
      </c>
      <c r="G34" s="132">
        <f>SUMIF(SIGAF!$B$2:$B$547,$A34,SIGAF!$I$2:$I$547)</f>
        <v>0</v>
      </c>
      <c r="H34" s="67">
        <f t="shared" si="2"/>
        <v>0</v>
      </c>
      <c r="I34" s="13">
        <f>SUMIF(SIGAF!$B$2:$B$547,$A34,SIGAF!$J$2:$J$547)</f>
        <v>0</v>
      </c>
      <c r="J34" s="67">
        <f t="shared" si="2"/>
        <v>0</v>
      </c>
      <c r="K34" s="13">
        <f>SUMIF(SIGAF!$B$2:$B$547,$A34,SIGAF!$K$2:$K$547)</f>
        <v>5490713</v>
      </c>
      <c r="L34" s="142">
        <f t="shared" si="6"/>
        <v>0.87571696994065196</v>
      </c>
      <c r="M34" s="13">
        <f>SUMIF(SIGAF!$B$2:$B$547,$A34,SIGAF!$L$2:$L$547)</f>
        <v>5490713</v>
      </c>
      <c r="N34" s="67">
        <f t="shared" si="3"/>
        <v>0.87571696994065196</v>
      </c>
      <c r="O34" s="86">
        <f>SUMIF(SIGAF!$B$2:$B$547,$A34,SIGAF!$M$2:$M$547)</f>
        <v>779250</v>
      </c>
      <c r="P34" s="67">
        <f t="shared" si="4"/>
        <v>0.12428303005934804</v>
      </c>
      <c r="Q34" s="13">
        <f>SUMIF(SIGAF!$B$2:$B$547,$A34,SIGAF!$N$2:$N$547)</f>
        <v>779250</v>
      </c>
      <c r="R34" s="67">
        <f t="shared" si="5"/>
        <v>0.12428303005934804</v>
      </c>
    </row>
    <row r="35" spans="1:18" x14ac:dyDescent="0.25">
      <c r="A35" s="11" t="s">
        <v>309</v>
      </c>
      <c r="B35" s="11" t="s">
        <v>431</v>
      </c>
      <c r="C35" s="13">
        <f>SUMIF(SIGAF!$B$2:$B$547,$A35,SIGAF!$F$2:$F$547)</f>
        <v>3683764.62</v>
      </c>
      <c r="D35" s="13">
        <f>SUMIF(SIGAF!$B$2:$B$547,$A35,SIGAF!$G$2:$G$547)</f>
        <v>3683764.62</v>
      </c>
      <c r="E35" s="13">
        <f>SUMIF(SIGAF!$B$2:$B$547,$A35,SIGAF!$H$2:$H$547)</f>
        <v>0</v>
      </c>
      <c r="F35" s="67">
        <f t="shared" si="1"/>
        <v>0</v>
      </c>
      <c r="G35" s="132">
        <f>SUMIF(SIGAF!$B$2:$B$547,$A35,SIGAF!$I$2:$I$547)</f>
        <v>0</v>
      </c>
      <c r="H35" s="67">
        <f t="shared" si="2"/>
        <v>0</v>
      </c>
      <c r="I35" s="13">
        <f>SUMIF(SIGAF!$B$2:$B$547,$A35,SIGAF!$J$2:$J$547)</f>
        <v>0</v>
      </c>
      <c r="J35" s="67">
        <f t="shared" si="2"/>
        <v>0</v>
      </c>
      <c r="K35" s="13">
        <f>SUMIF(SIGAF!$B$2:$B$547,$A35,SIGAF!$K$2:$K$547)</f>
        <v>2882921</v>
      </c>
      <c r="L35" s="142">
        <f t="shared" si="6"/>
        <v>0.78260184821472112</v>
      </c>
      <c r="M35" s="13">
        <f>SUMIF(SIGAF!$B$2:$B$547,$A35,SIGAF!$L$2:$L$547)</f>
        <v>2882921</v>
      </c>
      <c r="N35" s="67">
        <f t="shared" si="3"/>
        <v>0.78260184821472112</v>
      </c>
      <c r="O35" s="86">
        <f>SUMIF(SIGAF!$B$2:$B$547,$A35,SIGAF!$M$2:$M$547)</f>
        <v>800843.62</v>
      </c>
      <c r="P35" s="67">
        <f t="shared" si="4"/>
        <v>0.21739815178527883</v>
      </c>
      <c r="Q35" s="13">
        <f>SUMIF(SIGAF!$B$2:$B$547,$A35,SIGAF!$N$2:$N$547)</f>
        <v>800843.62</v>
      </c>
      <c r="R35" s="67">
        <f t="shared" si="5"/>
        <v>0.21739815178527883</v>
      </c>
    </row>
    <row r="36" spans="1:18" x14ac:dyDescent="0.25">
      <c r="A36" s="11" t="s">
        <v>324</v>
      </c>
      <c r="B36" s="11" t="s">
        <v>431</v>
      </c>
      <c r="C36" s="13">
        <f>SUMIF(SIGAF!$B$2:$B$547,$A36,SIGAF!$F$2:$F$547)</f>
        <v>32319762</v>
      </c>
      <c r="D36" s="13">
        <f>SUMIF(SIGAF!$B$2:$B$547,$A36,SIGAF!$G$2:$G$547)</f>
        <v>32319762</v>
      </c>
      <c r="E36" s="13">
        <f>SUMIF(SIGAF!$B$2:$B$547,$A36,SIGAF!$H$2:$H$547)</f>
        <v>0</v>
      </c>
      <c r="F36" s="67">
        <f t="shared" si="1"/>
        <v>0</v>
      </c>
      <c r="G36" s="132">
        <f>SUMIF(SIGAF!$B$2:$B$547,$A36,SIGAF!$I$2:$I$547)</f>
        <v>0</v>
      </c>
      <c r="H36" s="67">
        <f t="shared" si="2"/>
        <v>0</v>
      </c>
      <c r="I36" s="13">
        <f>SUMIF(SIGAF!$B$2:$B$547,$A36,SIGAF!$J$2:$J$547)</f>
        <v>0</v>
      </c>
      <c r="J36" s="67">
        <f t="shared" si="2"/>
        <v>0</v>
      </c>
      <c r="K36" s="13">
        <f>SUMIF(SIGAF!$B$2:$B$547,$A36,SIGAF!$K$2:$K$547)</f>
        <v>29422437</v>
      </c>
      <c r="L36" s="142">
        <f t="shared" si="6"/>
        <v>0.91035438317893558</v>
      </c>
      <c r="M36" s="13">
        <f>SUMIF(SIGAF!$B$2:$B$547,$A36,SIGAF!$L$2:$L$547)</f>
        <v>29422437</v>
      </c>
      <c r="N36" s="67">
        <f t="shared" si="3"/>
        <v>0.91035438317893558</v>
      </c>
      <c r="O36" s="86">
        <f>SUMIF(SIGAF!$B$2:$B$547,$A36,SIGAF!$M$2:$M$547)</f>
        <v>2897325</v>
      </c>
      <c r="P36" s="67">
        <f t="shared" si="4"/>
        <v>8.9645616821064464E-2</v>
      </c>
      <c r="Q36" s="13">
        <f>SUMIF(SIGAF!$B$2:$B$547,$A36,SIGAF!$N$2:$N$547)</f>
        <v>2897325</v>
      </c>
      <c r="R36" s="67">
        <f t="shared" si="5"/>
        <v>8.9645616821064464E-2</v>
      </c>
    </row>
    <row r="37" spans="1:18" x14ac:dyDescent="0.25">
      <c r="A37" s="11" t="s">
        <v>363</v>
      </c>
      <c r="B37" s="11" t="s">
        <v>431</v>
      </c>
      <c r="C37" s="13">
        <f>SUMIF(SIGAF!$B$2:$B$547,$A37,SIGAF!$F$2:$F$547)</f>
        <v>247028941</v>
      </c>
      <c r="D37" s="13">
        <f>SUMIF(SIGAF!$B$2:$B$547,$A37,SIGAF!$G$2:$G$547)</f>
        <v>247028941</v>
      </c>
      <c r="E37" s="13">
        <f>SUMIF(SIGAF!$B$2:$B$547,$A37,SIGAF!$H$2:$H$547)</f>
        <v>0</v>
      </c>
      <c r="F37" s="67">
        <f t="shared" si="1"/>
        <v>0</v>
      </c>
      <c r="G37" s="132">
        <f>SUMIF(SIGAF!$B$2:$B$547,$A37,SIGAF!$I$2:$I$547)</f>
        <v>0</v>
      </c>
      <c r="H37" s="67">
        <f t="shared" si="2"/>
        <v>0</v>
      </c>
      <c r="I37" s="13">
        <f>SUMIF(SIGAF!$B$2:$B$547,$A37,SIGAF!$J$2:$J$547)</f>
        <v>0</v>
      </c>
      <c r="J37" s="67">
        <f t="shared" si="2"/>
        <v>0</v>
      </c>
      <c r="K37" s="13">
        <f>SUMIF(SIGAF!$B$2:$B$547,$A37,SIGAF!$K$2:$K$547)</f>
        <v>235218185</v>
      </c>
      <c r="L37" s="142">
        <f t="shared" si="6"/>
        <v>0.95218877613210506</v>
      </c>
      <c r="M37" s="13">
        <f>SUMIF(SIGAF!$B$2:$B$547,$A37,SIGAF!$L$2:$L$547)</f>
        <v>235218185</v>
      </c>
      <c r="N37" s="67">
        <f t="shared" si="3"/>
        <v>0.95218877613210506</v>
      </c>
      <c r="O37" s="86">
        <f>SUMIF(SIGAF!$B$2:$B$547,$A37,SIGAF!$M$2:$M$547)</f>
        <v>11810756</v>
      </c>
      <c r="P37" s="67">
        <f t="shared" si="4"/>
        <v>4.7811223867894895E-2</v>
      </c>
      <c r="Q37" s="13">
        <f>SUMIF(SIGAF!$B$2:$B$547,$A37,SIGAF!$N$2:$N$547)</f>
        <v>11810756</v>
      </c>
      <c r="R37" s="67">
        <f t="shared" si="5"/>
        <v>4.7811223867894895E-2</v>
      </c>
    </row>
    <row r="38" spans="1:18" x14ac:dyDescent="0.25">
      <c r="A38" s="11" t="s">
        <v>396</v>
      </c>
      <c r="B38" s="11" t="s">
        <v>431</v>
      </c>
      <c r="C38" s="13">
        <f>SUMIF(SIGAF!$B$2:$B$547,$A38,SIGAF!$F$2:$F$547)</f>
        <v>49849885</v>
      </c>
      <c r="D38" s="13">
        <f>SUMIF(SIGAF!$B$2:$B$547,$A38,SIGAF!$G$2:$G$547)</f>
        <v>49849885</v>
      </c>
      <c r="E38" s="13">
        <f>SUMIF(SIGAF!$B$2:$B$547,$A38,SIGAF!$H$2:$H$547)</f>
        <v>0</v>
      </c>
      <c r="F38" s="67">
        <f t="shared" si="1"/>
        <v>0</v>
      </c>
      <c r="G38" s="132">
        <f>SUMIF(SIGAF!$B$2:$B$547,$A38,SIGAF!$I$2:$I$547)</f>
        <v>0</v>
      </c>
      <c r="H38" s="67">
        <f t="shared" si="2"/>
        <v>0</v>
      </c>
      <c r="I38" s="13">
        <f>SUMIF(SIGAF!$B$2:$B$547,$A38,SIGAF!$J$2:$J$547)</f>
        <v>0</v>
      </c>
      <c r="J38" s="67">
        <f t="shared" si="2"/>
        <v>0</v>
      </c>
      <c r="K38" s="13">
        <f>SUMIF(SIGAF!$B$2:$B$547,$A38,SIGAF!$K$2:$K$547)</f>
        <v>46727787.079999998</v>
      </c>
      <c r="L38" s="142">
        <f t="shared" si="6"/>
        <v>0.93737000757373856</v>
      </c>
      <c r="M38" s="13">
        <f>SUMIF(SIGAF!$B$2:$B$547,$A38,SIGAF!$L$2:$L$547)</f>
        <v>46727787.079999998</v>
      </c>
      <c r="N38" s="67">
        <f t="shared" si="3"/>
        <v>0.93737000757373856</v>
      </c>
      <c r="O38" s="86">
        <f>SUMIF(SIGAF!$B$2:$B$547,$A38,SIGAF!$M$2:$M$547)</f>
        <v>3122097.92</v>
      </c>
      <c r="P38" s="67">
        <f t="shared" si="4"/>
        <v>6.2629992426261369E-2</v>
      </c>
      <c r="Q38" s="13">
        <f>SUMIF(SIGAF!$B$2:$B$547,$A38,SIGAF!$N$2:$N$547)</f>
        <v>3122097.92</v>
      </c>
      <c r="R38" s="67">
        <f t="shared" si="5"/>
        <v>6.2629992426261369E-2</v>
      </c>
    </row>
    <row r="39" spans="1:18" x14ac:dyDescent="0.25">
      <c r="A39" s="11" t="s">
        <v>118</v>
      </c>
      <c r="B39" s="11" t="s">
        <v>432</v>
      </c>
      <c r="C39" s="13">
        <f>SUMIF(SIGAF!$B$2:$B$547,$A39,SIGAF!$F$2:$F$547)</f>
        <v>6568184663.54</v>
      </c>
      <c r="D39" s="13">
        <f>SUMIF(SIGAF!$B$2:$B$547,$A39,SIGAF!$G$2:$G$547)</f>
        <v>6568184663.54</v>
      </c>
      <c r="E39" s="13">
        <f>SUMIF(SIGAF!$B$2:$B$547,$A39,SIGAF!$H$2:$H$547)</f>
        <v>0</v>
      </c>
      <c r="F39" s="67">
        <f t="shared" si="1"/>
        <v>0</v>
      </c>
      <c r="G39" s="132">
        <f>SUMIF(SIGAF!$B$2:$B$547,$A39,SIGAF!$I$2:$I$547)</f>
        <v>0</v>
      </c>
      <c r="H39" s="67">
        <f t="shared" si="2"/>
        <v>0</v>
      </c>
      <c r="I39" s="13">
        <f>SUMIF(SIGAF!$B$2:$B$547,$A39,SIGAF!$J$2:$J$547)</f>
        <v>0</v>
      </c>
      <c r="J39" s="67">
        <f t="shared" si="2"/>
        <v>0</v>
      </c>
      <c r="K39" s="13">
        <f>SUMIF(SIGAF!$B$2:$B$547,$A39,SIGAF!$K$2:$K$547)</f>
        <v>6103235876.2700005</v>
      </c>
      <c r="L39" s="142">
        <f t="shared" si="6"/>
        <v>0.9292119800085813</v>
      </c>
      <c r="M39" s="13">
        <f>SUMIF(SIGAF!$B$2:$B$547,$A39,SIGAF!$L$2:$L$547)</f>
        <v>6103235876.2700005</v>
      </c>
      <c r="N39" s="67">
        <f t="shared" si="3"/>
        <v>0.9292119800085813</v>
      </c>
      <c r="O39" s="86">
        <f>SUMIF(SIGAF!$B$2:$B$547,$A39,SIGAF!$M$2:$M$547)</f>
        <v>464948787.26999998</v>
      </c>
      <c r="P39" s="67">
        <f t="shared" si="4"/>
        <v>7.0788019991418816E-2</v>
      </c>
      <c r="Q39" s="13">
        <f>SUMIF(SIGAF!$B$2:$B$547,$A39,SIGAF!$N$2:$N$547)</f>
        <v>464948787.26999998</v>
      </c>
      <c r="R39" s="67">
        <f t="shared" si="5"/>
        <v>7.0788019991418816E-2</v>
      </c>
    </row>
    <row r="40" spans="1:18" x14ac:dyDescent="0.25">
      <c r="A40" s="11" t="s">
        <v>407</v>
      </c>
      <c r="B40" s="11" t="s">
        <v>433</v>
      </c>
      <c r="C40" s="13">
        <f>SUM(C41:C45)</f>
        <v>3405482793.1700001</v>
      </c>
      <c r="D40" s="13">
        <f t="shared" ref="D40:G40" si="13">SUM(D41:D45)</f>
        <v>3405482793.1700001</v>
      </c>
      <c r="E40" s="13">
        <f t="shared" si="13"/>
        <v>0</v>
      </c>
      <c r="F40" s="67">
        <f t="shared" si="1"/>
        <v>0</v>
      </c>
      <c r="G40" s="132">
        <f t="shared" si="13"/>
        <v>0</v>
      </c>
      <c r="H40" s="67">
        <f t="shared" si="2"/>
        <v>0</v>
      </c>
      <c r="I40" s="13">
        <f t="shared" ref="I40" si="14">SUM(I41:I45)</f>
        <v>0</v>
      </c>
      <c r="J40" s="67">
        <f t="shared" si="2"/>
        <v>0</v>
      </c>
      <c r="K40" s="13">
        <f t="shared" ref="K40:Q40" si="15">SUM(K41:K45)</f>
        <v>3131709086.29</v>
      </c>
      <c r="L40" s="142">
        <f t="shared" si="6"/>
        <v>0.91960796060133454</v>
      </c>
      <c r="M40" s="13">
        <f t="shared" si="15"/>
        <v>3131709086.29</v>
      </c>
      <c r="N40" s="67">
        <f t="shared" si="3"/>
        <v>0.91960796060133454</v>
      </c>
      <c r="O40" s="13">
        <f t="shared" si="15"/>
        <v>273773706.88</v>
      </c>
      <c r="P40" s="67">
        <f t="shared" si="4"/>
        <v>8.0392039398665474E-2</v>
      </c>
      <c r="Q40" s="13">
        <f t="shared" si="15"/>
        <v>273773706.88</v>
      </c>
      <c r="R40" s="67">
        <f t="shared" si="5"/>
        <v>8.0392039398665474E-2</v>
      </c>
    </row>
    <row r="41" spans="1:18" x14ac:dyDescent="0.25">
      <c r="A41" s="11" t="s">
        <v>120</v>
      </c>
      <c r="B41" s="11" t="s">
        <v>434</v>
      </c>
      <c r="C41" s="13">
        <f>SUMIF(SIGAF!$B$2:$B$547,$A41,SIGAF!$F$2:$F$547)</f>
        <v>63698345</v>
      </c>
      <c r="D41" s="13">
        <f>SUMIF(SIGAF!$B$2:$B$547,$A41,SIGAF!$G$2:$G$547)</f>
        <v>63698345</v>
      </c>
      <c r="E41" s="13">
        <f>SUMIF(SIGAF!$B$2:$B$547,$A41,SIGAF!$H$2:$H$547)</f>
        <v>0</v>
      </c>
      <c r="F41" s="67">
        <f t="shared" si="1"/>
        <v>0</v>
      </c>
      <c r="G41" s="132">
        <f>SUMIF(SIGAF!$B$2:$B$547,$A41,SIGAF!$I$2:$I$547)</f>
        <v>0</v>
      </c>
      <c r="H41" s="67">
        <f t="shared" si="2"/>
        <v>0</v>
      </c>
      <c r="I41" s="13">
        <f>SUMIF(SIGAF!$B$2:$B$547,$A41,SIGAF!$J$2:$J$547)</f>
        <v>0</v>
      </c>
      <c r="J41" s="67">
        <f t="shared" si="2"/>
        <v>0</v>
      </c>
      <c r="K41" s="13">
        <f>SUMIF(SIGAF!$B$2:$B$547,$A41,SIGAF!$K$2:$K$547)</f>
        <v>55814540</v>
      </c>
      <c r="L41" s="142">
        <f t="shared" si="6"/>
        <v>0.87623218468234931</v>
      </c>
      <c r="M41" s="13">
        <f>SUMIF(SIGAF!$B$2:$B$547,$A41,SIGAF!$L$2:$L$547)</f>
        <v>55814540</v>
      </c>
      <c r="N41" s="67">
        <f t="shared" si="3"/>
        <v>0.87623218468234931</v>
      </c>
      <c r="O41" s="86">
        <f>SUMIF(SIGAF!$B$2:$B$547,$A41,SIGAF!$M$2:$M$547)</f>
        <v>7883805</v>
      </c>
      <c r="P41" s="67">
        <f t="shared" si="4"/>
        <v>0.12376781531765071</v>
      </c>
      <c r="Q41" s="13">
        <f>SUMIF(SIGAF!$B$2:$B$547,$A41,SIGAF!$N$2:$N$547)</f>
        <v>7883805</v>
      </c>
      <c r="R41" s="67">
        <f t="shared" si="5"/>
        <v>0.12376781531765071</v>
      </c>
    </row>
    <row r="42" spans="1:18" x14ac:dyDescent="0.25">
      <c r="A42" s="11" t="s">
        <v>310</v>
      </c>
      <c r="B42" s="11" t="s">
        <v>434</v>
      </c>
      <c r="C42" s="13">
        <f>SUMIF(SIGAF!$B$2:$B$547,$A42,SIGAF!$F$2:$F$547)</f>
        <v>37145914.170000002</v>
      </c>
      <c r="D42" s="13">
        <f>SUMIF(SIGAF!$B$2:$B$547,$A42,SIGAF!$G$2:$G$547)</f>
        <v>37145914.170000002</v>
      </c>
      <c r="E42" s="13">
        <f>SUMIF(SIGAF!$B$2:$B$547,$A42,SIGAF!$H$2:$H$547)</f>
        <v>0</v>
      </c>
      <c r="F42" s="67">
        <f t="shared" si="1"/>
        <v>0</v>
      </c>
      <c r="G42" s="132">
        <f>SUMIF(SIGAF!$B$2:$B$547,$A42,SIGAF!$I$2:$I$547)</f>
        <v>0</v>
      </c>
      <c r="H42" s="67">
        <f t="shared" si="2"/>
        <v>0</v>
      </c>
      <c r="I42" s="13">
        <f>SUMIF(SIGAF!$B$2:$B$547,$A42,SIGAF!$J$2:$J$547)</f>
        <v>0</v>
      </c>
      <c r="J42" s="67">
        <f t="shared" si="2"/>
        <v>0</v>
      </c>
      <c r="K42" s="13">
        <f>SUMIF(SIGAF!$B$2:$B$547,$A42,SIGAF!$K$2:$K$547)</f>
        <v>29293036</v>
      </c>
      <c r="L42" s="142">
        <f t="shared" si="6"/>
        <v>0.78859375666295517</v>
      </c>
      <c r="M42" s="13">
        <f>SUMIF(SIGAF!$B$2:$B$547,$A42,SIGAF!$L$2:$L$547)</f>
        <v>29293036</v>
      </c>
      <c r="N42" s="67">
        <f t="shared" si="3"/>
        <v>0.78859375666295517</v>
      </c>
      <c r="O42" s="86">
        <f>SUMIF(SIGAF!$B$2:$B$547,$A42,SIGAF!$M$2:$M$547)</f>
        <v>7852878.1699999999</v>
      </c>
      <c r="P42" s="67">
        <f t="shared" si="4"/>
        <v>0.21140624333704477</v>
      </c>
      <c r="Q42" s="13">
        <f>SUMIF(SIGAF!$B$2:$B$547,$A42,SIGAF!$N$2:$N$547)</f>
        <v>7852878.1699999999</v>
      </c>
      <c r="R42" s="67">
        <f t="shared" si="5"/>
        <v>0.21140624333704477</v>
      </c>
    </row>
    <row r="43" spans="1:18" x14ac:dyDescent="0.25">
      <c r="A43" s="11" t="s">
        <v>325</v>
      </c>
      <c r="B43" s="11" t="s">
        <v>434</v>
      </c>
      <c r="C43" s="13">
        <f>SUMIF(SIGAF!$B$2:$B$547,$A43,SIGAF!$F$2:$F$547)</f>
        <v>328364252</v>
      </c>
      <c r="D43" s="13">
        <f>SUMIF(SIGAF!$B$2:$B$547,$A43,SIGAF!$G$2:$G$547)</f>
        <v>328364252</v>
      </c>
      <c r="E43" s="13">
        <f>SUMIF(SIGAF!$B$2:$B$547,$A43,SIGAF!$H$2:$H$547)</f>
        <v>0</v>
      </c>
      <c r="F43" s="67">
        <f t="shared" si="1"/>
        <v>0</v>
      </c>
      <c r="G43" s="132">
        <f>SUMIF(SIGAF!$B$2:$B$547,$A43,SIGAF!$I$2:$I$547)</f>
        <v>0</v>
      </c>
      <c r="H43" s="67">
        <f t="shared" si="2"/>
        <v>0</v>
      </c>
      <c r="I43" s="13">
        <f>SUMIF(SIGAF!$B$2:$B$547,$A43,SIGAF!$J$2:$J$547)</f>
        <v>0</v>
      </c>
      <c r="J43" s="67">
        <f t="shared" si="2"/>
        <v>0</v>
      </c>
      <c r="K43" s="13">
        <f>SUMIF(SIGAF!$B$2:$B$547,$A43,SIGAF!$K$2:$K$547)</f>
        <v>281662913</v>
      </c>
      <c r="L43" s="142">
        <f t="shared" si="6"/>
        <v>0.85777581233172728</v>
      </c>
      <c r="M43" s="13">
        <f>SUMIF(SIGAF!$B$2:$B$547,$A43,SIGAF!$L$2:$L$547)</f>
        <v>281662913</v>
      </c>
      <c r="N43" s="67">
        <f t="shared" si="3"/>
        <v>0.85777581233172728</v>
      </c>
      <c r="O43" s="86">
        <f>SUMIF(SIGAF!$B$2:$B$547,$A43,SIGAF!$M$2:$M$547)</f>
        <v>46701339</v>
      </c>
      <c r="P43" s="67">
        <f t="shared" si="4"/>
        <v>0.14222418766827274</v>
      </c>
      <c r="Q43" s="13">
        <f>SUMIF(SIGAF!$B$2:$B$547,$A43,SIGAF!$N$2:$N$547)</f>
        <v>46701339</v>
      </c>
      <c r="R43" s="67">
        <f t="shared" si="5"/>
        <v>0.14222418766827274</v>
      </c>
    </row>
    <row r="44" spans="1:18" x14ac:dyDescent="0.25">
      <c r="A44" s="11" t="s">
        <v>364</v>
      </c>
      <c r="B44" s="11" t="s">
        <v>434</v>
      </c>
      <c r="C44" s="13">
        <f>SUMIF(SIGAF!$B$2:$B$547,$A44,SIGAF!$F$2:$F$547)</f>
        <v>2509807879</v>
      </c>
      <c r="D44" s="13">
        <f>SUMIF(SIGAF!$B$2:$B$547,$A44,SIGAF!$G$2:$G$547)</f>
        <v>2509807879</v>
      </c>
      <c r="E44" s="13">
        <f>SUMIF(SIGAF!$B$2:$B$547,$A44,SIGAF!$H$2:$H$547)</f>
        <v>0</v>
      </c>
      <c r="F44" s="67">
        <f t="shared" si="1"/>
        <v>0</v>
      </c>
      <c r="G44" s="132">
        <f>SUMIF(SIGAF!$B$2:$B$547,$A44,SIGAF!$I$2:$I$547)</f>
        <v>0</v>
      </c>
      <c r="H44" s="67">
        <f t="shared" si="2"/>
        <v>0</v>
      </c>
      <c r="I44" s="13">
        <f>SUMIF(SIGAF!$B$2:$B$547,$A44,SIGAF!$J$2:$J$547)</f>
        <v>0</v>
      </c>
      <c r="J44" s="67">
        <f t="shared" si="2"/>
        <v>0</v>
      </c>
      <c r="K44" s="13">
        <f>SUMIF(SIGAF!$B$2:$B$547,$A44,SIGAF!$K$2:$K$547)</f>
        <v>2387607993</v>
      </c>
      <c r="L44" s="142">
        <f t="shared" si="6"/>
        <v>0.95131105969406349</v>
      </c>
      <c r="M44" s="13">
        <f>SUMIF(SIGAF!$B$2:$B$547,$A44,SIGAF!$L$2:$L$547)</f>
        <v>2387607993</v>
      </c>
      <c r="N44" s="67">
        <f t="shared" si="3"/>
        <v>0.95131105969406349</v>
      </c>
      <c r="O44" s="86">
        <f>SUMIF(SIGAF!$B$2:$B$547,$A44,SIGAF!$M$2:$M$547)</f>
        <v>122199886</v>
      </c>
      <c r="P44" s="67">
        <f t="shared" si="4"/>
        <v>4.8688940305936464E-2</v>
      </c>
      <c r="Q44" s="13">
        <f>SUMIF(SIGAF!$B$2:$B$547,$A44,SIGAF!$N$2:$N$547)</f>
        <v>122199886</v>
      </c>
      <c r="R44" s="67">
        <f t="shared" si="5"/>
        <v>4.8688940305936464E-2</v>
      </c>
    </row>
    <row r="45" spans="1:18" x14ac:dyDescent="0.25">
      <c r="A45" s="11" t="s">
        <v>397</v>
      </c>
      <c r="B45" s="11" t="s">
        <v>434</v>
      </c>
      <c r="C45" s="13">
        <f>SUMIF(SIGAF!$B$2:$B$547,$A45,SIGAF!$F$2:$F$547)</f>
        <v>466466403</v>
      </c>
      <c r="D45" s="13">
        <f>SUMIF(SIGAF!$B$2:$B$547,$A45,SIGAF!$G$2:$G$547)</f>
        <v>466466403</v>
      </c>
      <c r="E45" s="13">
        <f>SUMIF(SIGAF!$B$2:$B$547,$A45,SIGAF!$H$2:$H$547)</f>
        <v>0</v>
      </c>
      <c r="F45" s="67">
        <f t="shared" si="1"/>
        <v>0</v>
      </c>
      <c r="G45" s="132">
        <f>SUMIF(SIGAF!$B$2:$B$547,$A45,SIGAF!$I$2:$I$547)</f>
        <v>0</v>
      </c>
      <c r="H45" s="67">
        <f t="shared" si="2"/>
        <v>0</v>
      </c>
      <c r="I45" s="13">
        <f>SUMIF(SIGAF!$B$2:$B$547,$A45,SIGAF!$J$2:$J$547)</f>
        <v>0</v>
      </c>
      <c r="J45" s="67">
        <f t="shared" si="2"/>
        <v>0</v>
      </c>
      <c r="K45" s="13">
        <f>SUMIF(SIGAF!$B$2:$B$547,$A45,SIGAF!$K$2:$K$547)</f>
        <v>377330604.29000002</v>
      </c>
      <c r="L45" s="142">
        <f t="shared" si="6"/>
        <v>0.80891271453477009</v>
      </c>
      <c r="M45" s="13">
        <f>SUMIF(SIGAF!$B$2:$B$547,$A45,SIGAF!$L$2:$L$547)</f>
        <v>377330604.29000002</v>
      </c>
      <c r="N45" s="67">
        <f t="shared" si="3"/>
        <v>0.80891271453477009</v>
      </c>
      <c r="O45" s="86">
        <f>SUMIF(SIGAF!$B$2:$B$547,$A45,SIGAF!$M$2:$M$547)</f>
        <v>89135798.709999993</v>
      </c>
      <c r="P45" s="67">
        <f t="shared" si="4"/>
        <v>0.19108728546522993</v>
      </c>
      <c r="Q45" s="13">
        <f>SUMIF(SIGAF!$B$2:$B$547,$A45,SIGAF!$N$2:$N$547)</f>
        <v>89135798.709999993</v>
      </c>
      <c r="R45" s="67">
        <f t="shared" si="5"/>
        <v>0.19108728546522993</v>
      </c>
    </row>
    <row r="46" spans="1:18" x14ac:dyDescent="0.25">
      <c r="A46" s="11" t="s">
        <v>408</v>
      </c>
      <c r="B46" s="11" t="s">
        <v>435</v>
      </c>
      <c r="C46" s="13">
        <f>SUM(C47:C51)</f>
        <v>1017449954.2</v>
      </c>
      <c r="D46" s="13">
        <f t="shared" ref="D46:G46" si="16">SUM(D47:D51)</f>
        <v>1017449954.2</v>
      </c>
      <c r="E46" s="13">
        <f t="shared" si="16"/>
        <v>0</v>
      </c>
      <c r="F46" s="67">
        <f t="shared" si="1"/>
        <v>0</v>
      </c>
      <c r="G46" s="132">
        <f t="shared" si="16"/>
        <v>0</v>
      </c>
      <c r="H46" s="67">
        <f t="shared" si="2"/>
        <v>0</v>
      </c>
      <c r="I46" s="13">
        <f t="shared" ref="I46" si="17">SUM(I47:I51)</f>
        <v>0</v>
      </c>
      <c r="J46" s="67">
        <f t="shared" si="2"/>
        <v>0</v>
      </c>
      <c r="K46" s="13">
        <f t="shared" ref="K46:Q46" si="18">SUM(K47:K51)</f>
        <v>959226557.25</v>
      </c>
      <c r="L46" s="142">
        <f t="shared" si="6"/>
        <v>0.94277517364892904</v>
      </c>
      <c r="M46" s="13">
        <f t="shared" si="18"/>
        <v>959226557.25</v>
      </c>
      <c r="N46" s="67">
        <f t="shared" si="3"/>
        <v>0.94277517364892904</v>
      </c>
      <c r="O46" s="13">
        <f t="shared" si="18"/>
        <v>58223396.950000003</v>
      </c>
      <c r="P46" s="67">
        <f t="shared" si="4"/>
        <v>5.7224826351070859E-2</v>
      </c>
      <c r="Q46" s="13">
        <f t="shared" si="18"/>
        <v>58223396.950000003</v>
      </c>
      <c r="R46" s="67">
        <f t="shared" si="5"/>
        <v>5.7224826351070859E-2</v>
      </c>
    </row>
    <row r="47" spans="1:18" x14ac:dyDescent="0.25">
      <c r="A47" s="11" t="s">
        <v>122</v>
      </c>
      <c r="B47" s="11" t="s">
        <v>436</v>
      </c>
      <c r="C47" s="13">
        <f>SUMIF(SIGAF!$B$2:$B$547,$A47,SIGAF!$F$2:$F$547)</f>
        <v>18808889</v>
      </c>
      <c r="D47" s="13">
        <f>SUMIF(SIGAF!$B$2:$B$547,$A47,SIGAF!$G$2:$G$547)</f>
        <v>18808889</v>
      </c>
      <c r="E47" s="13">
        <f>SUMIF(SIGAF!$B$2:$B$547,$A47,SIGAF!$H$2:$H$547)</f>
        <v>0</v>
      </c>
      <c r="F47" s="67">
        <f t="shared" si="1"/>
        <v>0</v>
      </c>
      <c r="G47" s="132">
        <f>SUMIF(SIGAF!$B$2:$B$547,$A47,SIGAF!$I$2:$I$547)</f>
        <v>0</v>
      </c>
      <c r="H47" s="67">
        <f t="shared" si="2"/>
        <v>0</v>
      </c>
      <c r="I47" s="13">
        <f>SUMIF(SIGAF!$B$2:$B$547,$A47,SIGAF!$J$2:$J$547)</f>
        <v>0</v>
      </c>
      <c r="J47" s="67">
        <f t="shared" si="2"/>
        <v>0</v>
      </c>
      <c r="K47" s="13">
        <f>SUMIF(SIGAF!$B$2:$B$547,$A47,SIGAF!$K$2:$K$547)</f>
        <v>16472162</v>
      </c>
      <c r="L47" s="142">
        <f t="shared" si="6"/>
        <v>0.87576475144278854</v>
      </c>
      <c r="M47" s="13">
        <f>SUMIF(SIGAF!$B$2:$B$547,$A47,SIGAF!$L$2:$L$547)</f>
        <v>16472162</v>
      </c>
      <c r="N47" s="67">
        <f t="shared" si="3"/>
        <v>0.87576475144278854</v>
      </c>
      <c r="O47" s="86">
        <f>SUMIF(SIGAF!$B$2:$B$547,$A47,SIGAF!$M$2:$M$547)</f>
        <v>2336727</v>
      </c>
      <c r="P47" s="67">
        <f t="shared" si="4"/>
        <v>0.12423524855721144</v>
      </c>
      <c r="Q47" s="13">
        <f>SUMIF(SIGAF!$B$2:$B$547,$A47,SIGAF!$N$2:$N$547)</f>
        <v>2336727</v>
      </c>
      <c r="R47" s="67">
        <f t="shared" si="5"/>
        <v>0.12423524855721144</v>
      </c>
    </row>
    <row r="48" spans="1:18" x14ac:dyDescent="0.25">
      <c r="A48" s="11" t="s">
        <v>311</v>
      </c>
      <c r="B48" s="11" t="s">
        <v>436</v>
      </c>
      <c r="C48" s="13">
        <f>SUMIF(SIGAF!$B$2:$B$547,$A48,SIGAF!$F$2:$F$547)</f>
        <v>11048293.199999999</v>
      </c>
      <c r="D48" s="13">
        <f>SUMIF(SIGAF!$B$2:$B$547,$A48,SIGAF!$G$2:$G$547)</f>
        <v>11048293.199999999</v>
      </c>
      <c r="E48" s="13">
        <f>SUMIF(SIGAF!$B$2:$B$547,$A48,SIGAF!$H$2:$H$547)</f>
        <v>0</v>
      </c>
      <c r="F48" s="67">
        <f t="shared" si="1"/>
        <v>0</v>
      </c>
      <c r="G48" s="132">
        <f>SUMIF(SIGAF!$B$2:$B$547,$A48,SIGAF!$I$2:$I$547)</f>
        <v>0</v>
      </c>
      <c r="H48" s="67">
        <f t="shared" si="2"/>
        <v>0</v>
      </c>
      <c r="I48" s="13">
        <f>SUMIF(SIGAF!$B$2:$B$547,$A48,SIGAF!$J$2:$J$547)</f>
        <v>0</v>
      </c>
      <c r="J48" s="67">
        <f t="shared" si="2"/>
        <v>0</v>
      </c>
      <c r="K48" s="13">
        <f>SUMIF(SIGAF!$B$2:$B$547,$A48,SIGAF!$K$2:$K$547)</f>
        <v>8648754</v>
      </c>
      <c r="L48" s="142">
        <f t="shared" si="6"/>
        <v>0.78281358427381353</v>
      </c>
      <c r="M48" s="13">
        <f>SUMIF(SIGAF!$B$2:$B$547,$A48,SIGAF!$L$2:$L$547)</f>
        <v>8648754</v>
      </c>
      <c r="N48" s="67">
        <f t="shared" si="3"/>
        <v>0.78281358427381353</v>
      </c>
      <c r="O48" s="86">
        <f>SUMIF(SIGAF!$B$2:$B$547,$A48,SIGAF!$M$2:$M$547)</f>
        <v>2399539.2000000002</v>
      </c>
      <c r="P48" s="67">
        <f t="shared" si="4"/>
        <v>0.21718641572618658</v>
      </c>
      <c r="Q48" s="13">
        <f>SUMIF(SIGAF!$B$2:$B$547,$A48,SIGAF!$N$2:$N$547)</f>
        <v>2399539.2000000002</v>
      </c>
      <c r="R48" s="67">
        <f t="shared" si="5"/>
        <v>0.21718641572618658</v>
      </c>
    </row>
    <row r="49" spans="1:18" x14ac:dyDescent="0.25">
      <c r="A49" s="11" t="s">
        <v>326</v>
      </c>
      <c r="B49" s="11" t="s">
        <v>436</v>
      </c>
      <c r="C49" s="13">
        <f>SUMIF(SIGAF!$B$2:$B$547,$A49,SIGAF!$F$2:$F$547)</f>
        <v>96959284</v>
      </c>
      <c r="D49" s="13">
        <f>SUMIF(SIGAF!$B$2:$B$547,$A49,SIGAF!$G$2:$G$547)</f>
        <v>96959284</v>
      </c>
      <c r="E49" s="13">
        <f>SUMIF(SIGAF!$B$2:$B$547,$A49,SIGAF!$H$2:$H$547)</f>
        <v>0</v>
      </c>
      <c r="F49" s="67">
        <f t="shared" si="1"/>
        <v>0</v>
      </c>
      <c r="G49" s="132">
        <f>SUMIF(SIGAF!$B$2:$B$547,$A49,SIGAF!$I$2:$I$547)</f>
        <v>0</v>
      </c>
      <c r="H49" s="67">
        <f t="shared" si="2"/>
        <v>0</v>
      </c>
      <c r="I49" s="13">
        <f>SUMIF(SIGAF!$B$2:$B$547,$A49,SIGAF!$J$2:$J$547)</f>
        <v>0</v>
      </c>
      <c r="J49" s="67">
        <f t="shared" si="2"/>
        <v>0</v>
      </c>
      <c r="K49" s="13">
        <f>SUMIF(SIGAF!$B$2:$B$547,$A49,SIGAF!$K$2:$K$547)</f>
        <v>88267317</v>
      </c>
      <c r="L49" s="142">
        <f t="shared" si="6"/>
        <v>0.91035446383865626</v>
      </c>
      <c r="M49" s="13">
        <f>SUMIF(SIGAF!$B$2:$B$547,$A49,SIGAF!$L$2:$L$547)</f>
        <v>88267317</v>
      </c>
      <c r="N49" s="67">
        <f t="shared" si="3"/>
        <v>0.91035446383865626</v>
      </c>
      <c r="O49" s="86">
        <f>SUMIF(SIGAF!$B$2:$B$547,$A49,SIGAF!$M$2:$M$547)</f>
        <v>8691967</v>
      </c>
      <c r="P49" s="67">
        <f t="shared" si="4"/>
        <v>8.964553616134377E-2</v>
      </c>
      <c r="Q49" s="13">
        <f>SUMIF(SIGAF!$B$2:$B$547,$A49,SIGAF!$N$2:$N$547)</f>
        <v>8691967</v>
      </c>
      <c r="R49" s="67">
        <f t="shared" si="5"/>
        <v>8.964553616134377E-2</v>
      </c>
    </row>
    <row r="50" spans="1:18" x14ac:dyDescent="0.25">
      <c r="A50" s="11" t="s">
        <v>365</v>
      </c>
      <c r="B50" s="11" t="s">
        <v>436</v>
      </c>
      <c r="C50" s="13">
        <f>SUMIF(SIGAF!$B$2:$B$547,$A50,SIGAF!$F$2:$F$547)</f>
        <v>741085823</v>
      </c>
      <c r="D50" s="13">
        <f>SUMIF(SIGAF!$B$2:$B$547,$A50,SIGAF!$G$2:$G$547)</f>
        <v>741085823</v>
      </c>
      <c r="E50" s="13">
        <f>SUMIF(SIGAF!$B$2:$B$547,$A50,SIGAF!$H$2:$H$547)</f>
        <v>0</v>
      </c>
      <c r="F50" s="67">
        <f t="shared" si="1"/>
        <v>0</v>
      </c>
      <c r="G50" s="132">
        <f>SUMIF(SIGAF!$B$2:$B$547,$A50,SIGAF!$I$2:$I$547)</f>
        <v>0</v>
      </c>
      <c r="H50" s="67">
        <f t="shared" si="2"/>
        <v>0</v>
      </c>
      <c r="I50" s="13">
        <f>SUMIF(SIGAF!$B$2:$B$547,$A50,SIGAF!$J$2:$J$547)</f>
        <v>0</v>
      </c>
      <c r="J50" s="67">
        <f t="shared" si="2"/>
        <v>0</v>
      </c>
      <c r="K50" s="13">
        <f>SUMIF(SIGAF!$B$2:$B$547,$A50,SIGAF!$K$2:$K$547)</f>
        <v>705655132</v>
      </c>
      <c r="L50" s="142">
        <f t="shared" si="6"/>
        <v>0.95219083957567485</v>
      </c>
      <c r="M50" s="13">
        <f>SUMIF(SIGAF!$B$2:$B$547,$A50,SIGAF!$L$2:$L$547)</f>
        <v>705655132</v>
      </c>
      <c r="N50" s="67">
        <f t="shared" si="3"/>
        <v>0.95219083957567485</v>
      </c>
      <c r="O50" s="86">
        <f>SUMIF(SIGAF!$B$2:$B$547,$A50,SIGAF!$M$2:$M$547)</f>
        <v>35430691</v>
      </c>
      <c r="P50" s="67">
        <f t="shared" si="4"/>
        <v>4.7809160424325106E-2</v>
      </c>
      <c r="Q50" s="13">
        <f>SUMIF(SIGAF!$B$2:$B$547,$A50,SIGAF!$N$2:$N$547)</f>
        <v>35430691</v>
      </c>
      <c r="R50" s="67">
        <f t="shared" si="5"/>
        <v>4.7809160424325106E-2</v>
      </c>
    </row>
    <row r="51" spans="1:18" x14ac:dyDescent="0.25">
      <c r="A51" s="11" t="s">
        <v>398</v>
      </c>
      <c r="B51" s="11" t="s">
        <v>436</v>
      </c>
      <c r="C51" s="13">
        <f>SUMIF(SIGAF!$B$2:$B$547,$A51,SIGAF!$F$2:$F$547)</f>
        <v>149547665</v>
      </c>
      <c r="D51" s="13">
        <f>SUMIF(SIGAF!$B$2:$B$547,$A51,SIGAF!$G$2:$G$547)</f>
        <v>149547665</v>
      </c>
      <c r="E51" s="13">
        <f>SUMIF(SIGAF!$B$2:$B$547,$A51,SIGAF!$H$2:$H$547)</f>
        <v>0</v>
      </c>
      <c r="F51" s="67">
        <f t="shared" si="1"/>
        <v>0</v>
      </c>
      <c r="G51" s="132">
        <f>SUMIF(SIGAF!$B$2:$B$547,$A51,SIGAF!$I$2:$I$547)</f>
        <v>0</v>
      </c>
      <c r="H51" s="67">
        <f t="shared" si="2"/>
        <v>0</v>
      </c>
      <c r="I51" s="13">
        <f>SUMIF(SIGAF!$B$2:$B$547,$A51,SIGAF!$J$2:$J$547)</f>
        <v>0</v>
      </c>
      <c r="J51" s="67">
        <f t="shared" si="2"/>
        <v>0</v>
      </c>
      <c r="K51" s="13">
        <f>SUMIF(SIGAF!$B$2:$B$547,$A51,SIGAF!$K$2:$K$547)</f>
        <v>140183192.25</v>
      </c>
      <c r="L51" s="142">
        <f t="shared" si="6"/>
        <v>0.93738135095589759</v>
      </c>
      <c r="M51" s="13">
        <f>SUMIF(SIGAF!$B$2:$B$547,$A51,SIGAF!$L$2:$L$547)</f>
        <v>140183192.25</v>
      </c>
      <c r="N51" s="67">
        <f t="shared" si="3"/>
        <v>0.93738135095589759</v>
      </c>
      <c r="O51" s="86">
        <f>SUMIF(SIGAF!$B$2:$B$547,$A51,SIGAF!$M$2:$M$547)</f>
        <v>9364472.75</v>
      </c>
      <c r="P51" s="67">
        <f t="shared" si="4"/>
        <v>6.2618649044102428E-2</v>
      </c>
      <c r="Q51" s="13">
        <f>SUMIF(SIGAF!$B$2:$B$547,$A51,SIGAF!$N$2:$N$547)</f>
        <v>9364472.75</v>
      </c>
      <c r="R51" s="67">
        <f t="shared" si="5"/>
        <v>6.2618649044102428E-2</v>
      </c>
    </row>
    <row r="52" spans="1:18" x14ac:dyDescent="0.25">
      <c r="A52" s="11" t="s">
        <v>409</v>
      </c>
      <c r="B52" s="11" t="s">
        <v>437</v>
      </c>
      <c r="C52" s="13">
        <f>SUM(C53:C57)</f>
        <v>2034892916.1700001</v>
      </c>
      <c r="D52" s="13">
        <f t="shared" ref="D52:G52" si="19">SUM(D53:D57)</f>
        <v>2034892916.1700001</v>
      </c>
      <c r="E52" s="13">
        <f t="shared" si="19"/>
        <v>0</v>
      </c>
      <c r="F52" s="67">
        <f t="shared" si="1"/>
        <v>0</v>
      </c>
      <c r="G52" s="132">
        <f t="shared" si="19"/>
        <v>0</v>
      </c>
      <c r="H52" s="67">
        <f t="shared" si="2"/>
        <v>0</v>
      </c>
      <c r="I52" s="13">
        <f t="shared" ref="I52" si="20">SUM(I53:I57)</f>
        <v>0</v>
      </c>
      <c r="J52" s="67">
        <f t="shared" si="2"/>
        <v>0</v>
      </c>
      <c r="K52" s="13">
        <f t="shared" ref="K52:Q52" si="21">SUM(K53:K57)</f>
        <v>1918451520.5</v>
      </c>
      <c r="L52" s="142">
        <f t="shared" si="6"/>
        <v>0.94277762984739177</v>
      </c>
      <c r="M52" s="13">
        <f t="shared" si="21"/>
        <v>1918451520.5</v>
      </c>
      <c r="N52" s="67">
        <f t="shared" si="3"/>
        <v>0.94277762984739177</v>
      </c>
      <c r="O52" s="13">
        <f t="shared" si="21"/>
        <v>116441395.67</v>
      </c>
      <c r="P52" s="67">
        <f t="shared" si="4"/>
        <v>5.7222370152608164E-2</v>
      </c>
      <c r="Q52" s="13">
        <f t="shared" si="21"/>
        <v>116441395.67</v>
      </c>
      <c r="R52" s="67">
        <f t="shared" si="5"/>
        <v>5.7222370152608164E-2</v>
      </c>
    </row>
    <row r="53" spans="1:18" x14ac:dyDescent="0.25">
      <c r="A53" s="11" t="s">
        <v>124</v>
      </c>
      <c r="B53" s="11" t="s">
        <v>438</v>
      </c>
      <c r="C53" s="13">
        <f>SUMIF(SIGAF!$B$2:$B$547,$A53,SIGAF!$F$2:$F$547)</f>
        <v>37616779</v>
      </c>
      <c r="D53" s="13">
        <f>SUMIF(SIGAF!$B$2:$B$547,$A53,SIGAF!$G$2:$G$547)</f>
        <v>37616779</v>
      </c>
      <c r="E53" s="13">
        <f>SUMIF(SIGAF!$B$2:$B$547,$A53,SIGAF!$H$2:$H$547)</f>
        <v>0</v>
      </c>
      <c r="F53" s="67">
        <f t="shared" si="1"/>
        <v>0</v>
      </c>
      <c r="G53" s="132">
        <f>SUMIF(SIGAF!$B$2:$B$547,$A53,SIGAF!$I$2:$I$547)</f>
        <v>0</v>
      </c>
      <c r="H53" s="67">
        <f t="shared" si="2"/>
        <v>0</v>
      </c>
      <c r="I53" s="13">
        <f>SUMIF(SIGAF!$B$2:$B$547,$A53,SIGAF!$J$2:$J$547)</f>
        <v>0</v>
      </c>
      <c r="J53" s="67">
        <f t="shared" si="2"/>
        <v>0</v>
      </c>
      <c r="K53" s="13">
        <f>SUMIF(SIGAF!$B$2:$B$547,$A53,SIGAF!$K$2:$K$547)</f>
        <v>32944305</v>
      </c>
      <c r="L53" s="142">
        <f t="shared" si="6"/>
        <v>0.87578750429429375</v>
      </c>
      <c r="M53" s="13">
        <f>SUMIF(SIGAF!$B$2:$B$547,$A53,SIGAF!$L$2:$L$547)</f>
        <v>32944305</v>
      </c>
      <c r="N53" s="67">
        <f t="shared" si="3"/>
        <v>0.87578750429429375</v>
      </c>
      <c r="O53" s="86">
        <f>SUMIF(SIGAF!$B$2:$B$547,$A53,SIGAF!$M$2:$M$547)</f>
        <v>4672474</v>
      </c>
      <c r="P53" s="67">
        <f t="shared" si="4"/>
        <v>0.12421249570570622</v>
      </c>
      <c r="Q53" s="13">
        <f>SUMIF(SIGAF!$B$2:$B$547,$A53,SIGAF!$N$2:$N$547)</f>
        <v>4672474</v>
      </c>
      <c r="R53" s="67">
        <f t="shared" si="5"/>
        <v>0.12421249570570622</v>
      </c>
    </row>
    <row r="54" spans="1:18" x14ac:dyDescent="0.25">
      <c r="A54" s="11" t="s">
        <v>312</v>
      </c>
      <c r="B54" s="11" t="s">
        <v>438</v>
      </c>
      <c r="C54" s="13">
        <f>SUMIF(SIGAF!$B$2:$B$547,$A54,SIGAF!$F$2:$F$547)</f>
        <v>22095586.170000002</v>
      </c>
      <c r="D54" s="13">
        <f>SUMIF(SIGAF!$B$2:$B$547,$A54,SIGAF!$G$2:$G$547)</f>
        <v>22095586.170000002</v>
      </c>
      <c r="E54" s="13">
        <f>SUMIF(SIGAF!$B$2:$B$547,$A54,SIGAF!$H$2:$H$547)</f>
        <v>0</v>
      </c>
      <c r="F54" s="67">
        <f t="shared" si="1"/>
        <v>0</v>
      </c>
      <c r="G54" s="132">
        <f>SUMIF(SIGAF!$B$2:$B$547,$A54,SIGAF!$I$2:$I$547)</f>
        <v>0</v>
      </c>
      <c r="H54" s="67">
        <f t="shared" si="2"/>
        <v>0</v>
      </c>
      <c r="I54" s="13">
        <f>SUMIF(SIGAF!$B$2:$B$547,$A54,SIGAF!$J$2:$J$547)</f>
        <v>0</v>
      </c>
      <c r="J54" s="67">
        <f t="shared" si="2"/>
        <v>0</v>
      </c>
      <c r="K54" s="13">
        <f>SUMIF(SIGAF!$B$2:$B$547,$A54,SIGAF!$K$2:$K$547)</f>
        <v>17297491</v>
      </c>
      <c r="L54" s="142">
        <f t="shared" si="6"/>
        <v>0.78284825154290072</v>
      </c>
      <c r="M54" s="13">
        <f>SUMIF(SIGAF!$B$2:$B$547,$A54,SIGAF!$L$2:$L$547)</f>
        <v>17297491</v>
      </c>
      <c r="N54" s="67">
        <f t="shared" si="3"/>
        <v>0.78284825154290072</v>
      </c>
      <c r="O54" s="86">
        <f>SUMIF(SIGAF!$B$2:$B$547,$A54,SIGAF!$M$2:$M$547)</f>
        <v>4798095.17</v>
      </c>
      <c r="P54" s="67">
        <f t="shared" si="4"/>
        <v>0.21715174845709917</v>
      </c>
      <c r="Q54" s="13">
        <f>SUMIF(SIGAF!$B$2:$B$547,$A54,SIGAF!$N$2:$N$547)</f>
        <v>4798095.17</v>
      </c>
      <c r="R54" s="67">
        <f t="shared" si="5"/>
        <v>0.21715174845709917</v>
      </c>
    </row>
    <row r="55" spans="1:18" x14ac:dyDescent="0.25">
      <c r="A55" s="11" t="s">
        <v>327</v>
      </c>
      <c r="B55" s="11" t="s">
        <v>438</v>
      </c>
      <c r="C55" s="13">
        <f>SUMIF(SIGAF!$B$2:$B$547,$A55,SIGAF!$F$2:$F$547)</f>
        <v>193916566</v>
      </c>
      <c r="D55" s="13">
        <f>SUMIF(SIGAF!$B$2:$B$547,$A55,SIGAF!$G$2:$G$547)</f>
        <v>193916566</v>
      </c>
      <c r="E55" s="13">
        <f>SUMIF(SIGAF!$B$2:$B$547,$A55,SIGAF!$H$2:$H$547)</f>
        <v>0</v>
      </c>
      <c r="F55" s="67">
        <f t="shared" si="1"/>
        <v>0</v>
      </c>
      <c r="G55" s="132">
        <f>SUMIF(SIGAF!$B$2:$B$547,$A55,SIGAF!$I$2:$I$547)</f>
        <v>0</v>
      </c>
      <c r="H55" s="67">
        <f t="shared" si="2"/>
        <v>0</v>
      </c>
      <c r="I55" s="13">
        <f>SUMIF(SIGAF!$B$2:$B$547,$A55,SIGAF!$J$2:$J$547)</f>
        <v>0</v>
      </c>
      <c r="J55" s="67">
        <f t="shared" si="2"/>
        <v>0</v>
      </c>
      <c r="K55" s="13">
        <f>SUMIF(SIGAF!$B$2:$B$547,$A55,SIGAF!$K$2:$K$547)</f>
        <v>176534609</v>
      </c>
      <c r="L55" s="142">
        <f t="shared" si="6"/>
        <v>0.91036373344193811</v>
      </c>
      <c r="M55" s="13">
        <f>SUMIF(SIGAF!$B$2:$B$547,$A55,SIGAF!$L$2:$L$547)</f>
        <v>176534609</v>
      </c>
      <c r="N55" s="67">
        <f t="shared" si="3"/>
        <v>0.91036373344193811</v>
      </c>
      <c r="O55" s="86">
        <f>SUMIF(SIGAF!$B$2:$B$547,$A55,SIGAF!$M$2:$M$547)</f>
        <v>17381957</v>
      </c>
      <c r="P55" s="67">
        <f t="shared" si="4"/>
        <v>8.9636266558061881E-2</v>
      </c>
      <c r="Q55" s="13">
        <f>SUMIF(SIGAF!$B$2:$B$547,$A55,SIGAF!$N$2:$N$547)</f>
        <v>17381957</v>
      </c>
      <c r="R55" s="67">
        <f t="shared" si="5"/>
        <v>8.9636266558061881E-2</v>
      </c>
    </row>
    <row r="56" spans="1:18" x14ac:dyDescent="0.25">
      <c r="A56" s="11" t="s">
        <v>366</v>
      </c>
      <c r="B56" s="11" t="s">
        <v>438</v>
      </c>
      <c r="C56" s="13">
        <f>SUMIF(SIGAF!$B$2:$B$547,$A56,SIGAF!$F$2:$F$547)</f>
        <v>1482169645</v>
      </c>
      <c r="D56" s="13">
        <f>SUMIF(SIGAF!$B$2:$B$547,$A56,SIGAF!$G$2:$G$547)</f>
        <v>1482169645</v>
      </c>
      <c r="E56" s="13">
        <f>SUMIF(SIGAF!$B$2:$B$547,$A56,SIGAF!$H$2:$H$547)</f>
        <v>0</v>
      </c>
      <c r="F56" s="67">
        <f t="shared" si="1"/>
        <v>0</v>
      </c>
      <c r="G56" s="132">
        <f>SUMIF(SIGAF!$B$2:$B$547,$A56,SIGAF!$I$2:$I$547)</f>
        <v>0</v>
      </c>
      <c r="H56" s="67">
        <f t="shared" si="2"/>
        <v>0</v>
      </c>
      <c r="I56" s="13">
        <f>SUMIF(SIGAF!$B$2:$B$547,$A56,SIGAF!$J$2:$J$547)</f>
        <v>0</v>
      </c>
      <c r="J56" s="67">
        <f t="shared" si="2"/>
        <v>0</v>
      </c>
      <c r="K56" s="13">
        <f>SUMIF(SIGAF!$B$2:$B$547,$A56,SIGAF!$K$2:$K$547)</f>
        <v>1411308715</v>
      </c>
      <c r="L56" s="142">
        <f t="shared" si="6"/>
        <v>0.95219107998936248</v>
      </c>
      <c r="M56" s="13">
        <f>SUMIF(SIGAF!$B$2:$B$547,$A56,SIGAF!$L$2:$L$547)</f>
        <v>1411308715</v>
      </c>
      <c r="N56" s="67">
        <f t="shared" si="3"/>
        <v>0.95219107998936248</v>
      </c>
      <c r="O56" s="86">
        <f>SUMIF(SIGAF!$B$2:$B$547,$A56,SIGAF!$M$2:$M$547)</f>
        <v>70860930</v>
      </c>
      <c r="P56" s="67">
        <f t="shared" si="4"/>
        <v>4.7808920010637516E-2</v>
      </c>
      <c r="Q56" s="13">
        <f>SUMIF(SIGAF!$B$2:$B$547,$A56,SIGAF!$N$2:$N$547)</f>
        <v>70860930</v>
      </c>
      <c r="R56" s="67">
        <f t="shared" si="5"/>
        <v>4.7808920010637516E-2</v>
      </c>
    </row>
    <row r="57" spans="1:18" x14ac:dyDescent="0.25">
      <c r="A57" s="11" t="s">
        <v>399</v>
      </c>
      <c r="B57" s="11" t="s">
        <v>438</v>
      </c>
      <c r="C57" s="13">
        <f>SUMIF(SIGAF!$B$2:$B$547,$A57,SIGAF!$F$2:$F$547)</f>
        <v>299094340</v>
      </c>
      <c r="D57" s="13">
        <f>SUMIF(SIGAF!$B$2:$B$547,$A57,SIGAF!$G$2:$G$547)</f>
        <v>299094340</v>
      </c>
      <c r="E57" s="13">
        <f>SUMIF(SIGAF!$B$2:$B$547,$A57,SIGAF!$H$2:$H$547)</f>
        <v>0</v>
      </c>
      <c r="F57" s="67">
        <f t="shared" si="1"/>
        <v>0</v>
      </c>
      <c r="G57" s="132">
        <f>SUMIF(SIGAF!$B$2:$B$547,$A57,SIGAF!$I$2:$I$547)</f>
        <v>0</v>
      </c>
      <c r="H57" s="67">
        <f t="shared" si="2"/>
        <v>0</v>
      </c>
      <c r="I57" s="13">
        <f>SUMIF(SIGAF!$B$2:$B$547,$A57,SIGAF!$J$2:$J$547)</f>
        <v>0</v>
      </c>
      <c r="J57" s="67">
        <f t="shared" si="2"/>
        <v>0</v>
      </c>
      <c r="K57" s="13">
        <f>SUMIF(SIGAF!$B$2:$B$547,$A57,SIGAF!$K$2:$K$547)</f>
        <v>280366400.5</v>
      </c>
      <c r="L57" s="142">
        <f t="shared" si="6"/>
        <v>0.93738450717589639</v>
      </c>
      <c r="M57" s="13">
        <f>SUMIF(SIGAF!$B$2:$B$547,$A57,SIGAF!$L$2:$L$547)</f>
        <v>280366400.5</v>
      </c>
      <c r="N57" s="67">
        <f t="shared" si="3"/>
        <v>0.93738450717589639</v>
      </c>
      <c r="O57" s="86">
        <f>SUMIF(SIGAF!$B$2:$B$547,$A57,SIGAF!$M$2:$M$547)</f>
        <v>18727939.5</v>
      </c>
      <c r="P57" s="67">
        <f t="shared" si="4"/>
        <v>6.2615492824103586E-2</v>
      </c>
      <c r="Q57" s="13">
        <f>SUMIF(SIGAF!$B$2:$B$547,$A57,SIGAF!$N$2:$N$547)</f>
        <v>18727939.5</v>
      </c>
      <c r="R57" s="67">
        <f t="shared" si="5"/>
        <v>6.2615492824103586E-2</v>
      </c>
    </row>
    <row r="58" spans="1:18" x14ac:dyDescent="0.25">
      <c r="A58" s="11" t="s">
        <v>410</v>
      </c>
      <c r="B58" s="11" t="s">
        <v>439</v>
      </c>
      <c r="C58" s="13">
        <f>+C59</f>
        <v>110359000</v>
      </c>
      <c r="D58" s="13">
        <f>+D59</f>
        <v>110359000</v>
      </c>
      <c r="E58" s="13">
        <f>+E59</f>
        <v>0</v>
      </c>
      <c r="F58" s="67">
        <f t="shared" si="1"/>
        <v>0</v>
      </c>
      <c r="G58" s="132">
        <f>+G59</f>
        <v>0</v>
      </c>
      <c r="H58" s="67">
        <f t="shared" si="2"/>
        <v>0</v>
      </c>
      <c r="I58" s="13">
        <f>+I59</f>
        <v>0</v>
      </c>
      <c r="J58" s="67">
        <f t="shared" si="2"/>
        <v>0</v>
      </c>
      <c r="K58" s="13">
        <f>+K59</f>
        <v>93848712.230000004</v>
      </c>
      <c r="L58" s="142">
        <f t="shared" si="6"/>
        <v>0.85039473201098237</v>
      </c>
      <c r="M58" s="13">
        <f>+M59</f>
        <v>93848712.230000004</v>
      </c>
      <c r="N58" s="67">
        <f t="shared" si="3"/>
        <v>0.85039473201098237</v>
      </c>
      <c r="O58" s="13">
        <f>+O59</f>
        <v>16510287.77</v>
      </c>
      <c r="P58" s="67">
        <f t="shared" si="4"/>
        <v>0.14960526798901766</v>
      </c>
      <c r="Q58" s="13">
        <f>+Q59</f>
        <v>16510287.77</v>
      </c>
      <c r="R58" s="67">
        <f t="shared" si="5"/>
        <v>0.14960526798901766</v>
      </c>
    </row>
    <row r="59" spans="1:18" x14ac:dyDescent="0.25">
      <c r="A59" s="11" t="s">
        <v>400</v>
      </c>
      <c r="B59" s="11" t="s">
        <v>440</v>
      </c>
      <c r="C59" s="13">
        <f>SUMIF(SIGAF!$B$2:$B$547,$A59,SIGAF!$F$2:$F$547)</f>
        <v>110359000</v>
      </c>
      <c r="D59" s="13">
        <f>SUMIF(SIGAF!$B$2:$B$547,$A59,SIGAF!$G$2:$G$547)</f>
        <v>110359000</v>
      </c>
      <c r="E59" s="13">
        <f>SUMIF(SIGAF!$B$2:$B$547,$A59,SIGAF!$H$2:$H$547)</f>
        <v>0</v>
      </c>
      <c r="F59" s="67">
        <f t="shared" si="1"/>
        <v>0</v>
      </c>
      <c r="G59" s="132">
        <f>SUMIF(SIGAF!$B$2:$B$547,$A59,SIGAF!$I$2:$I$547)</f>
        <v>0</v>
      </c>
      <c r="H59" s="67">
        <f t="shared" si="2"/>
        <v>0</v>
      </c>
      <c r="I59" s="13">
        <f>SUMIF(SIGAF!$B$2:$B$547,$A59,SIGAF!$J$2:$J$547)</f>
        <v>0</v>
      </c>
      <c r="J59" s="67">
        <f t="shared" si="2"/>
        <v>0</v>
      </c>
      <c r="K59" s="13">
        <f>SUMIF(SIGAF!$B$2:$B$547,$A59,SIGAF!$K$2:$K$547)</f>
        <v>93848712.230000004</v>
      </c>
      <c r="L59" s="142">
        <f t="shared" si="6"/>
        <v>0.85039473201098237</v>
      </c>
      <c r="M59" s="13">
        <f>SUMIF(SIGAF!$B$2:$B$547,$A59,SIGAF!$L$2:$L$547)</f>
        <v>93848712.230000004</v>
      </c>
      <c r="N59" s="67">
        <f t="shared" si="3"/>
        <v>0.85039473201098237</v>
      </c>
      <c r="O59" s="86">
        <f>SUMIF(SIGAF!$B$2:$B$547,$A59,SIGAF!$M$2:$M$547)</f>
        <v>16510287.77</v>
      </c>
      <c r="P59" s="67">
        <f t="shared" si="4"/>
        <v>0.14960526798901766</v>
      </c>
      <c r="Q59" s="13">
        <f>SUMIF(SIGAF!$B$2:$B$547,$A59,SIGAF!$N$2:$N$547)</f>
        <v>16510287.77</v>
      </c>
      <c r="R59" s="67">
        <f t="shared" si="5"/>
        <v>0.14960526798901766</v>
      </c>
    </row>
    <row r="60" spans="1:18" x14ac:dyDescent="0.25">
      <c r="A60" s="11" t="s">
        <v>367</v>
      </c>
      <c r="B60" s="11" t="s">
        <v>441</v>
      </c>
      <c r="C60" s="13">
        <f>SUMIF(SIGAF!$B$2:$B$547,$A60,SIGAF!$F$2:$F$547)</f>
        <v>300000</v>
      </c>
      <c r="D60" s="13">
        <f>SUMIF(SIGAF!$B$2:$B$547,$A60,SIGAF!$G$2:$G$547)</f>
        <v>300000</v>
      </c>
      <c r="E60" s="13">
        <f>SUMIF(SIGAF!$B$2:$B$547,$A60,SIGAF!$H$2:$H$547)</f>
        <v>0</v>
      </c>
      <c r="F60" s="67">
        <f t="shared" si="1"/>
        <v>0</v>
      </c>
      <c r="G60" s="132">
        <f>SUMIF(SIGAF!$B$2:$B$547,$A60,SIGAF!$I$2:$I$547)</f>
        <v>0</v>
      </c>
      <c r="H60" s="67">
        <f t="shared" si="2"/>
        <v>0</v>
      </c>
      <c r="I60" s="13">
        <f>SUMIF(SIGAF!$B$2:$B$547,$A60,SIGAF!$J$2:$J$547)</f>
        <v>0</v>
      </c>
      <c r="J60" s="67">
        <f t="shared" si="2"/>
        <v>0</v>
      </c>
      <c r="K60" s="13">
        <f>SUMIF(SIGAF!$B$2:$B$547,$A60,SIGAF!$K$2:$K$547)</f>
        <v>300000</v>
      </c>
      <c r="L60" s="142">
        <f t="shared" si="6"/>
        <v>1</v>
      </c>
      <c r="M60" s="13">
        <f>SUMIF(SIGAF!$B$2:$B$547,$A60,SIGAF!$L$2:$L$547)</f>
        <v>300000</v>
      </c>
      <c r="N60" s="67">
        <f t="shared" si="3"/>
        <v>1</v>
      </c>
      <c r="O60" s="86">
        <f>SUMIF(SIGAF!$B$2:$B$547,$A60,SIGAF!$M$2:$M$547)</f>
        <v>0</v>
      </c>
      <c r="P60" s="67">
        <f t="shared" si="4"/>
        <v>0</v>
      </c>
      <c r="Q60" s="13">
        <f>SUMIF(SIGAF!$B$2:$B$547,$A60,SIGAF!$N$2:$N$547)</f>
        <v>0</v>
      </c>
      <c r="R60" s="67">
        <f t="shared" si="5"/>
        <v>0</v>
      </c>
    </row>
    <row r="61" spans="1:18" x14ac:dyDescent="0.25">
      <c r="A61" s="11" t="s">
        <v>369</v>
      </c>
      <c r="B61" s="11" t="s">
        <v>442</v>
      </c>
      <c r="C61" s="13">
        <f>SUMIF(SIGAF!$B$2:$B$547,$A61,SIGAF!$F$2:$F$547)</f>
        <v>300000</v>
      </c>
      <c r="D61" s="13">
        <f>SUMIF(SIGAF!$B$2:$B$547,$A61,SIGAF!$G$2:$G$547)</f>
        <v>300000</v>
      </c>
      <c r="E61" s="13">
        <f>SUMIF(SIGAF!$B$2:$B$547,$A61,SIGAF!$H$2:$H$547)</f>
        <v>0</v>
      </c>
      <c r="F61" s="67">
        <f t="shared" si="1"/>
        <v>0</v>
      </c>
      <c r="G61" s="132">
        <f>SUMIF(SIGAF!$B$2:$B$547,$A61,SIGAF!$I$2:$I$547)</f>
        <v>0</v>
      </c>
      <c r="H61" s="67">
        <f t="shared" si="2"/>
        <v>0</v>
      </c>
      <c r="I61" s="13">
        <f>SUMIF(SIGAF!$B$2:$B$547,$A61,SIGAF!$J$2:$J$547)</f>
        <v>0</v>
      </c>
      <c r="J61" s="67">
        <f t="shared" si="2"/>
        <v>0</v>
      </c>
      <c r="K61" s="13">
        <f>SUMIF(SIGAF!$B$2:$B$547,$A61,SIGAF!$K$2:$K$547)</f>
        <v>300000</v>
      </c>
      <c r="L61" s="142">
        <f t="shared" si="6"/>
        <v>1</v>
      </c>
      <c r="M61" s="13">
        <f>SUMIF(SIGAF!$B$2:$B$547,$A61,SIGAF!$L$2:$L$547)</f>
        <v>300000</v>
      </c>
      <c r="N61" s="67">
        <f t="shared" si="3"/>
        <v>1</v>
      </c>
      <c r="O61" s="86">
        <f>SUMIF(SIGAF!$B$2:$B$547,$A61,SIGAF!$M$2:$M$547)</f>
        <v>0</v>
      </c>
      <c r="P61" s="67">
        <f t="shared" si="4"/>
        <v>0</v>
      </c>
      <c r="Q61" s="13">
        <f>SUMIF(SIGAF!$B$2:$B$547,$A61,SIGAF!$N$2:$N$547)</f>
        <v>0</v>
      </c>
      <c r="R61" s="67">
        <f t="shared" si="5"/>
        <v>0</v>
      </c>
    </row>
    <row r="62" spans="1:18" s="23" customFormat="1" x14ac:dyDescent="0.25">
      <c r="A62" s="21" t="s">
        <v>126</v>
      </c>
      <c r="B62" s="21" t="s">
        <v>127</v>
      </c>
      <c r="C62" s="35">
        <f>SUMIF(SIGAF!$B$2:$B$547,$A62,SIGAF!$F$2:$F$547)</f>
        <v>11993820926</v>
      </c>
      <c r="D62" s="35">
        <f>SUMIF(SIGAF!$B$2:$B$547,$A62,SIGAF!$G$2:$G$547)</f>
        <v>11993820926</v>
      </c>
      <c r="E62" s="35">
        <f>SUMIF(SIGAF!$B$2:$B$547,$A62,SIGAF!$H$2:$H$547)</f>
        <v>0</v>
      </c>
      <c r="F62" s="66">
        <f t="shared" si="1"/>
        <v>0</v>
      </c>
      <c r="G62" s="133">
        <f>SUMIF(SIGAF!$B$2:$B$547,$A62,SIGAF!$I$2:$I$547)</f>
        <v>1951749900.28</v>
      </c>
      <c r="H62" s="66">
        <f t="shared" si="2"/>
        <v>0.16272961821941412</v>
      </c>
      <c r="I62" s="35">
        <f>SUMIF(SIGAF!$B$2:$B$547,$A62,SIGAF!$J$2:$J$547)</f>
        <v>0</v>
      </c>
      <c r="J62" s="66">
        <f t="shared" si="2"/>
        <v>0</v>
      </c>
      <c r="K62" s="35">
        <f>SUMIF(SIGAF!$B$2:$B$547,$A62,SIGAF!$K$2:$K$547)</f>
        <v>8936854270.1399994</v>
      </c>
      <c r="L62" s="141">
        <f t="shared" si="6"/>
        <v>0.74512153593746255</v>
      </c>
      <c r="M62" s="35">
        <f>SUMIF(SIGAF!$B$2:$B$547,$A62,SIGAF!$L$2:$L$547)</f>
        <v>7918068135.21</v>
      </c>
      <c r="N62" s="66">
        <f t="shared" si="3"/>
        <v>0.66017895248422021</v>
      </c>
      <c r="O62" s="87">
        <f>SUMIF(SIGAF!$B$2:$B$547,$A62,SIGAF!$M$2:$M$547)</f>
        <v>1105216755.5799999</v>
      </c>
      <c r="P62" s="66">
        <f t="shared" si="4"/>
        <v>9.2148845843123259E-2</v>
      </c>
      <c r="Q62" s="35">
        <f>SUMIF(SIGAF!$B$2:$B$547,$A62,SIGAF!$N$2:$N$547)</f>
        <v>1105216755.5799999</v>
      </c>
      <c r="R62" s="66">
        <f t="shared" si="5"/>
        <v>9.2148845843123259E-2</v>
      </c>
    </row>
    <row r="63" spans="1:18" x14ac:dyDescent="0.25">
      <c r="A63" s="11" t="s">
        <v>128</v>
      </c>
      <c r="B63" s="11" t="s">
        <v>129</v>
      </c>
      <c r="C63" s="13">
        <f>SUMIF(SIGAF!$B$2:$B$547,$A63,SIGAF!$F$2:$F$547)</f>
        <v>3151209001</v>
      </c>
      <c r="D63" s="13">
        <f>SUMIF(SIGAF!$B$2:$B$547,$A63,SIGAF!$G$2:$G$547)</f>
        <v>3151209001</v>
      </c>
      <c r="E63" s="13">
        <f>SUMIF(SIGAF!$B$2:$B$547,$A63,SIGAF!$H$2:$H$547)</f>
        <v>0</v>
      </c>
      <c r="F63" s="67">
        <f t="shared" si="1"/>
        <v>0</v>
      </c>
      <c r="G63" s="132">
        <f>SUMIF(SIGAF!$B$2:$B$547,$A63,SIGAF!$I$2:$I$547)</f>
        <v>655026935.28000009</v>
      </c>
      <c r="H63" s="67">
        <f t="shared" si="2"/>
        <v>0.20786527807966237</v>
      </c>
      <c r="I63" s="13">
        <f>SUMIF(SIGAF!$B$2:$B$547,$A63,SIGAF!$J$2:$J$547)</f>
        <v>0</v>
      </c>
      <c r="J63" s="67">
        <f t="shared" si="2"/>
        <v>0</v>
      </c>
      <c r="K63" s="13">
        <f>SUMIF(SIGAF!$B$2:$B$547,$A63,SIGAF!$K$2:$K$547)</f>
        <v>2393545301.71</v>
      </c>
      <c r="L63" s="142">
        <f t="shared" si="6"/>
        <v>0.75956412315096711</v>
      </c>
      <c r="M63" s="13">
        <f>SUMIF(SIGAF!$B$2:$B$547,$A63,SIGAF!$L$2:$L$547)</f>
        <v>1942628571.48</v>
      </c>
      <c r="N63" s="67">
        <f t="shared" si="3"/>
        <v>0.61647087542068113</v>
      </c>
      <c r="O63" s="86">
        <f>SUMIF(SIGAF!$B$2:$B$547,$A63,SIGAF!$M$2:$M$547)</f>
        <v>102636764.01000001</v>
      </c>
      <c r="P63" s="67">
        <f t="shared" si="4"/>
        <v>3.2570598769370553E-2</v>
      </c>
      <c r="Q63" s="13">
        <f>SUMIF(SIGAF!$B$2:$B$547,$A63,SIGAF!$N$2:$N$547)</f>
        <v>102636764.01000001</v>
      </c>
      <c r="R63" s="67">
        <f t="shared" si="5"/>
        <v>3.2570598769370553E-2</v>
      </c>
    </row>
    <row r="64" spans="1:18" x14ac:dyDescent="0.25">
      <c r="A64" s="11" t="s">
        <v>313</v>
      </c>
      <c r="B64" s="11" t="s">
        <v>443</v>
      </c>
      <c r="C64" s="13">
        <f>SUMIF(SIGAF!$B$2:$B$547,$A64,SIGAF!$F$2:$F$547)</f>
        <v>662067000</v>
      </c>
      <c r="D64" s="13">
        <f>SUMIF(SIGAF!$B$2:$B$547,$A64,SIGAF!$G$2:$G$547)</f>
        <v>662067000</v>
      </c>
      <c r="E64" s="13">
        <f>SUMIF(SIGAF!$B$2:$B$547,$A64,SIGAF!$H$2:$H$547)</f>
        <v>0</v>
      </c>
      <c r="F64" s="67">
        <f t="shared" si="1"/>
        <v>0</v>
      </c>
      <c r="G64" s="132">
        <f>SUMIF(SIGAF!$B$2:$B$547,$A64,SIGAF!$I$2:$I$547)</f>
        <v>5191077.55</v>
      </c>
      <c r="H64" s="67">
        <f t="shared" si="2"/>
        <v>7.8407133265968546E-3</v>
      </c>
      <c r="I64" s="13">
        <f>SUMIF(SIGAF!$B$2:$B$547,$A64,SIGAF!$J$2:$J$547)</f>
        <v>0</v>
      </c>
      <c r="J64" s="67">
        <f t="shared" si="2"/>
        <v>0</v>
      </c>
      <c r="K64" s="13">
        <f>SUMIF(SIGAF!$B$2:$B$547,$A64,SIGAF!$K$2:$K$547)</f>
        <v>590704291.43000007</v>
      </c>
      <c r="L64" s="142">
        <f t="shared" si="6"/>
        <v>0.8922122556025297</v>
      </c>
      <c r="M64" s="13">
        <f>SUMIF(SIGAF!$B$2:$B$547,$A64,SIGAF!$L$2:$L$547)</f>
        <v>547678910.5</v>
      </c>
      <c r="N64" s="67">
        <f t="shared" si="3"/>
        <v>0.82722581022766573</v>
      </c>
      <c r="O64" s="86">
        <f>SUMIF(SIGAF!$B$2:$B$547,$A64,SIGAF!$M$2:$M$547)</f>
        <v>66171631.019999996</v>
      </c>
      <c r="P64" s="67">
        <f t="shared" si="4"/>
        <v>9.9947031070873479E-2</v>
      </c>
      <c r="Q64" s="13">
        <f>SUMIF(SIGAF!$B$2:$B$547,$A64,SIGAF!$N$2:$N$547)</f>
        <v>66171631.019999996</v>
      </c>
      <c r="R64" s="67">
        <f t="shared" si="5"/>
        <v>9.9947031070873479E-2</v>
      </c>
    </row>
    <row r="65" spans="1:18" x14ac:dyDescent="0.25">
      <c r="A65" s="11" t="s">
        <v>328</v>
      </c>
      <c r="B65" s="11" t="s">
        <v>444</v>
      </c>
      <c r="C65" s="13">
        <f>SUMIF(SIGAF!$B$2:$B$547,$A65,SIGAF!$F$2:$F$547)</f>
        <v>9024000</v>
      </c>
      <c r="D65" s="13">
        <f>SUMIF(SIGAF!$B$2:$B$547,$A65,SIGAF!$G$2:$G$547)</f>
        <v>9024000</v>
      </c>
      <c r="E65" s="13">
        <f>SUMIF(SIGAF!$B$2:$B$547,$A65,SIGAF!$H$2:$H$547)</f>
        <v>0</v>
      </c>
      <c r="F65" s="67">
        <f t="shared" si="1"/>
        <v>0</v>
      </c>
      <c r="G65" s="132">
        <f>SUMIF(SIGAF!$B$2:$B$547,$A65,SIGAF!$I$2:$I$547)</f>
        <v>0</v>
      </c>
      <c r="H65" s="67">
        <f t="shared" si="2"/>
        <v>0</v>
      </c>
      <c r="I65" s="13">
        <f>SUMIF(SIGAF!$B$2:$B$547,$A65,SIGAF!$J$2:$J$547)</f>
        <v>0</v>
      </c>
      <c r="J65" s="67">
        <f t="shared" si="2"/>
        <v>0</v>
      </c>
      <c r="K65" s="13">
        <f>SUMIF(SIGAF!$B$2:$B$547,$A65,SIGAF!$K$2:$K$547)</f>
        <v>3626284.12</v>
      </c>
      <c r="L65" s="142">
        <f t="shared" si="6"/>
        <v>0.40184886081560284</v>
      </c>
      <c r="M65" s="13">
        <f>SUMIF(SIGAF!$B$2:$B$547,$A65,SIGAF!$L$2:$L$547)</f>
        <v>3197953.03</v>
      </c>
      <c r="N65" s="67">
        <f t="shared" si="3"/>
        <v>0.35438309286347514</v>
      </c>
      <c r="O65" s="86">
        <f>SUMIF(SIGAF!$B$2:$B$547,$A65,SIGAF!$M$2:$M$547)</f>
        <v>5397715.8799999999</v>
      </c>
      <c r="P65" s="67">
        <f t="shared" si="4"/>
        <v>0.59815113918439711</v>
      </c>
      <c r="Q65" s="13">
        <f>SUMIF(SIGAF!$B$2:$B$547,$A65,SIGAF!$N$2:$N$547)</f>
        <v>5397715.8799999999</v>
      </c>
      <c r="R65" s="67">
        <f t="shared" si="5"/>
        <v>0.59815113918439711</v>
      </c>
    </row>
    <row r="66" spans="1:18" x14ac:dyDescent="0.25">
      <c r="A66" s="11" t="s">
        <v>130</v>
      </c>
      <c r="B66" s="11" t="s">
        <v>445</v>
      </c>
      <c r="C66" s="13">
        <f>SUMIF(SIGAF!$B$2:$B$547,$A66,SIGAF!$F$2:$F$547)</f>
        <v>1016882950</v>
      </c>
      <c r="D66" s="13">
        <f>SUMIF(SIGAF!$B$2:$B$547,$A66,SIGAF!$G$2:$G$547)</f>
        <v>1016882950</v>
      </c>
      <c r="E66" s="13">
        <f>SUMIF(SIGAF!$B$2:$B$547,$A66,SIGAF!$H$2:$H$547)</f>
        <v>0</v>
      </c>
      <c r="F66" s="67">
        <f t="shared" si="1"/>
        <v>0</v>
      </c>
      <c r="G66" s="132">
        <f>SUMIF(SIGAF!$B$2:$B$547,$A66,SIGAF!$I$2:$I$547)</f>
        <v>88650108.360000014</v>
      </c>
      <c r="H66" s="67">
        <f t="shared" si="2"/>
        <v>8.7178281787495815E-2</v>
      </c>
      <c r="I66" s="13">
        <f>SUMIF(SIGAF!$B$2:$B$547,$A66,SIGAF!$J$2:$J$547)</f>
        <v>0</v>
      </c>
      <c r="J66" s="67">
        <f t="shared" si="2"/>
        <v>0</v>
      </c>
      <c r="K66" s="13">
        <f>SUMIF(SIGAF!$B$2:$B$547,$A66,SIGAF!$K$2:$K$547)</f>
        <v>904793265.87</v>
      </c>
      <c r="L66" s="142">
        <f t="shared" si="6"/>
        <v>0.88977130147575001</v>
      </c>
      <c r="M66" s="13">
        <f>SUMIF(SIGAF!$B$2:$B$547,$A66,SIGAF!$L$2:$L$547)</f>
        <v>717022322.61000001</v>
      </c>
      <c r="N66" s="67">
        <f t="shared" si="3"/>
        <v>0.70511785315114195</v>
      </c>
      <c r="O66" s="86">
        <f>SUMIF(SIGAF!$B$2:$B$547,$A66,SIGAF!$M$2:$M$547)</f>
        <v>23439575.77</v>
      </c>
      <c r="P66" s="67">
        <f t="shared" si="4"/>
        <v>2.3050416736754214E-2</v>
      </c>
      <c r="Q66" s="13">
        <f>SUMIF(SIGAF!$B$2:$B$547,$A66,SIGAF!$N$2:$N$547)</f>
        <v>23439575.77</v>
      </c>
      <c r="R66" s="67">
        <f t="shared" si="5"/>
        <v>2.3050416736754214E-2</v>
      </c>
    </row>
    <row r="67" spans="1:18" x14ac:dyDescent="0.25">
      <c r="A67" s="11" t="s">
        <v>330</v>
      </c>
      <c r="B67" s="11" t="s">
        <v>446</v>
      </c>
      <c r="C67" s="13">
        <f>SUMIF(SIGAF!$B$2:$B$547,$A67,SIGAF!$F$2:$F$547)</f>
        <v>20800008</v>
      </c>
      <c r="D67" s="13">
        <f>SUMIF(SIGAF!$B$2:$B$547,$A67,SIGAF!$G$2:$G$547)</f>
        <v>20800008</v>
      </c>
      <c r="E67" s="13">
        <f>SUMIF(SIGAF!$B$2:$B$547,$A67,SIGAF!$H$2:$H$547)</f>
        <v>0</v>
      </c>
      <c r="F67" s="67">
        <f t="shared" si="1"/>
        <v>0</v>
      </c>
      <c r="G67" s="132">
        <f>SUMIF(SIGAF!$B$2:$B$547,$A67,SIGAF!$I$2:$I$547)</f>
        <v>9153482.5700000003</v>
      </c>
      <c r="H67" s="67">
        <f t="shared" si="2"/>
        <v>0.44007110814572764</v>
      </c>
      <c r="I67" s="13">
        <f>SUMIF(SIGAF!$B$2:$B$547,$A67,SIGAF!$J$2:$J$547)</f>
        <v>0</v>
      </c>
      <c r="J67" s="67">
        <f t="shared" si="2"/>
        <v>0</v>
      </c>
      <c r="K67" s="13">
        <f>SUMIF(SIGAF!$B$2:$B$547,$A67,SIGAF!$K$2:$K$547)</f>
        <v>9609438.6799999997</v>
      </c>
      <c r="L67" s="142">
        <f t="shared" si="6"/>
        <v>0.46199206654151287</v>
      </c>
      <c r="M67" s="13">
        <f>SUMIF(SIGAF!$B$2:$B$547,$A67,SIGAF!$L$2:$L$547)</f>
        <v>8883919.6500000004</v>
      </c>
      <c r="N67" s="67">
        <f t="shared" si="3"/>
        <v>0.42711135736101641</v>
      </c>
      <c r="O67" s="86">
        <f>SUMIF(SIGAF!$B$2:$B$547,$A67,SIGAF!$M$2:$M$547)</f>
        <v>2037086.75</v>
      </c>
      <c r="P67" s="67">
        <f t="shared" si="4"/>
        <v>9.793682531275949E-2</v>
      </c>
      <c r="Q67" s="13">
        <f>SUMIF(SIGAF!$B$2:$B$547,$A67,SIGAF!$N$2:$N$547)</f>
        <v>2037086.75</v>
      </c>
      <c r="R67" s="67">
        <f t="shared" si="5"/>
        <v>9.793682531275949E-2</v>
      </c>
    </row>
    <row r="68" spans="1:18" x14ac:dyDescent="0.25">
      <c r="A68" s="11" t="s">
        <v>132</v>
      </c>
      <c r="B68" s="11" t="s">
        <v>133</v>
      </c>
      <c r="C68" s="13">
        <f>SUMIF(SIGAF!$B$2:$B$547,$A68,SIGAF!$F$2:$F$547)</f>
        <v>1442435043</v>
      </c>
      <c r="D68" s="13">
        <f>SUMIF(SIGAF!$B$2:$B$547,$A68,SIGAF!$G$2:$G$547)</f>
        <v>1442435043</v>
      </c>
      <c r="E68" s="13">
        <f>SUMIF(SIGAF!$B$2:$B$547,$A68,SIGAF!$H$2:$H$547)</f>
        <v>0</v>
      </c>
      <c r="F68" s="67">
        <f t="shared" si="1"/>
        <v>0</v>
      </c>
      <c r="G68" s="132">
        <f>SUMIF(SIGAF!$B$2:$B$547,$A68,SIGAF!$I$2:$I$547)</f>
        <v>552032266.79999995</v>
      </c>
      <c r="H68" s="67">
        <f t="shared" si="2"/>
        <v>0.38270857982753542</v>
      </c>
      <c r="I68" s="13">
        <f>SUMIF(SIGAF!$B$2:$B$547,$A68,SIGAF!$J$2:$J$547)</f>
        <v>0</v>
      </c>
      <c r="J68" s="67">
        <f t="shared" si="2"/>
        <v>0</v>
      </c>
      <c r="K68" s="13">
        <f>SUMIF(SIGAF!$B$2:$B$547,$A68,SIGAF!$K$2:$K$547)</f>
        <v>884812021.61000001</v>
      </c>
      <c r="L68" s="142">
        <f t="shared" si="6"/>
        <v>0.61341550588631955</v>
      </c>
      <c r="M68" s="13">
        <f>SUMIF(SIGAF!$B$2:$B$547,$A68,SIGAF!$L$2:$L$547)</f>
        <v>665845465.69000006</v>
      </c>
      <c r="N68" s="67">
        <f t="shared" si="3"/>
        <v>0.46161209748839971</v>
      </c>
      <c r="O68" s="86">
        <f>SUMIF(SIGAF!$B$2:$B$547,$A68,SIGAF!$M$2:$M$547)</f>
        <v>5590754.5899999999</v>
      </c>
      <c r="P68" s="67">
        <f t="shared" si="4"/>
        <v>3.8759142861450849E-3</v>
      </c>
      <c r="Q68" s="13">
        <f>SUMIF(SIGAF!$B$2:$B$547,$A68,SIGAF!$N$2:$N$547)</f>
        <v>5590754.5899999999</v>
      </c>
      <c r="R68" s="67">
        <f t="shared" si="5"/>
        <v>3.8759142861450849E-3</v>
      </c>
    </row>
    <row r="69" spans="1:18" x14ac:dyDescent="0.25">
      <c r="A69" s="11" t="s">
        <v>134</v>
      </c>
      <c r="B69" s="11" t="s">
        <v>447</v>
      </c>
      <c r="C69" s="13">
        <f>SUMIF(SIGAF!$B$2:$B$547,$A69,SIGAF!$F$2:$F$547)</f>
        <v>5319751604</v>
      </c>
      <c r="D69" s="13">
        <f>SUMIF(SIGAF!$B$2:$B$547,$A69,SIGAF!$G$2:$G$547)</f>
        <v>5319751604</v>
      </c>
      <c r="E69" s="13">
        <f>SUMIF(SIGAF!$B$2:$B$547,$A69,SIGAF!$H$2:$H$547)</f>
        <v>0</v>
      </c>
      <c r="F69" s="67">
        <f t="shared" si="1"/>
        <v>0</v>
      </c>
      <c r="G69" s="132">
        <f>SUMIF(SIGAF!$B$2:$B$547,$A69,SIGAF!$I$2:$I$547)</f>
        <v>697506977.59000003</v>
      </c>
      <c r="H69" s="67">
        <f t="shared" si="2"/>
        <v>0.13111645608895239</v>
      </c>
      <c r="I69" s="13">
        <f>SUMIF(SIGAF!$B$2:$B$547,$A69,SIGAF!$J$2:$J$547)</f>
        <v>0</v>
      </c>
      <c r="J69" s="67">
        <f t="shared" si="2"/>
        <v>0</v>
      </c>
      <c r="K69" s="13">
        <f>SUMIF(SIGAF!$B$2:$B$547,$A69,SIGAF!$K$2:$K$547)</f>
        <v>4183750740.8099999</v>
      </c>
      <c r="L69" s="142">
        <f t="shared" si="6"/>
        <v>0.78645603258320851</v>
      </c>
      <c r="M69" s="13">
        <f>SUMIF(SIGAF!$B$2:$B$547,$A69,SIGAF!$L$2:$L$547)</f>
        <v>4133626528.6700001</v>
      </c>
      <c r="N69" s="67">
        <f t="shared" si="3"/>
        <v>0.77703374826032579</v>
      </c>
      <c r="O69" s="86">
        <f>SUMIF(SIGAF!$B$2:$B$547,$A69,SIGAF!$M$2:$M$547)</f>
        <v>438493885.59999996</v>
      </c>
      <c r="P69" s="67">
        <f t="shared" si="4"/>
        <v>8.2427511327839056E-2</v>
      </c>
      <c r="Q69" s="13">
        <f>SUMIF(SIGAF!$B$2:$B$547,$A69,SIGAF!$N$2:$N$547)</f>
        <v>438493885.59999996</v>
      </c>
      <c r="R69" s="67">
        <f t="shared" si="5"/>
        <v>8.2427511327839056E-2</v>
      </c>
    </row>
    <row r="70" spans="1:18" x14ac:dyDescent="0.25">
      <c r="A70" s="11" t="s">
        <v>136</v>
      </c>
      <c r="B70" s="11" t="s">
        <v>448</v>
      </c>
      <c r="C70" s="13">
        <f>SUMIF(SIGAF!$B$2:$B$547,$A70,SIGAF!$F$2:$F$547)</f>
        <v>3109838604</v>
      </c>
      <c r="D70" s="13">
        <f>SUMIF(SIGAF!$B$2:$B$547,$A70,SIGAF!$G$2:$G$547)</f>
        <v>3109838604</v>
      </c>
      <c r="E70" s="13">
        <f>SUMIF(SIGAF!$B$2:$B$547,$A70,SIGAF!$H$2:$H$547)</f>
        <v>0</v>
      </c>
      <c r="F70" s="67">
        <f t="shared" si="1"/>
        <v>0</v>
      </c>
      <c r="G70" s="132">
        <f>SUMIF(SIGAF!$B$2:$B$547,$A70,SIGAF!$I$2:$I$547)</f>
        <v>486522453.52999997</v>
      </c>
      <c r="H70" s="67">
        <f t="shared" si="2"/>
        <v>0.15644620685594909</v>
      </c>
      <c r="I70" s="13">
        <f>SUMIF(SIGAF!$B$2:$B$547,$A70,SIGAF!$J$2:$J$547)</f>
        <v>0</v>
      </c>
      <c r="J70" s="67">
        <f t="shared" si="2"/>
        <v>0</v>
      </c>
      <c r="K70" s="13">
        <f>SUMIF(SIGAF!$B$2:$B$547,$A70,SIGAF!$K$2:$K$547)</f>
        <v>2318279995.3000002</v>
      </c>
      <c r="L70" s="142">
        <f t="shared" si="6"/>
        <v>0.74546633780870009</v>
      </c>
      <c r="M70" s="13">
        <f>SUMIF(SIGAF!$B$2:$B$547,$A70,SIGAF!$L$2:$L$547)</f>
        <v>2307424525.8000002</v>
      </c>
      <c r="N70" s="67">
        <f t="shared" si="3"/>
        <v>0.74197565199431814</v>
      </c>
      <c r="O70" s="86">
        <f>SUMIF(SIGAF!$B$2:$B$547,$A70,SIGAF!$M$2:$M$547)</f>
        <v>305036155.17000002</v>
      </c>
      <c r="P70" s="67">
        <f t="shared" si="4"/>
        <v>9.8087455335350904E-2</v>
      </c>
      <c r="Q70" s="13">
        <f>SUMIF(SIGAF!$B$2:$B$547,$A70,SIGAF!$N$2:$N$547)</f>
        <v>305036155.17000002</v>
      </c>
      <c r="R70" s="67">
        <f t="shared" si="5"/>
        <v>9.8087455335350904E-2</v>
      </c>
    </row>
    <row r="71" spans="1:18" x14ac:dyDescent="0.25">
      <c r="A71" s="11" t="s">
        <v>138</v>
      </c>
      <c r="B71" s="11" t="s">
        <v>449</v>
      </c>
      <c r="C71" s="13">
        <f>SUMIF(SIGAF!$B$2:$B$547,$A71,SIGAF!$F$2:$F$547)</f>
        <v>1345859000</v>
      </c>
      <c r="D71" s="13">
        <f>SUMIF(SIGAF!$B$2:$B$547,$A71,SIGAF!$G$2:$G$547)</f>
        <v>1345859000</v>
      </c>
      <c r="E71" s="13">
        <f>SUMIF(SIGAF!$B$2:$B$547,$A71,SIGAF!$H$2:$H$547)</f>
        <v>0</v>
      </c>
      <c r="F71" s="67">
        <f t="shared" si="1"/>
        <v>0</v>
      </c>
      <c r="G71" s="132">
        <f>SUMIF(SIGAF!$B$2:$B$547,$A71,SIGAF!$I$2:$I$547)</f>
        <v>85083643.280000001</v>
      </c>
      <c r="H71" s="67">
        <f t="shared" si="2"/>
        <v>6.3218838882825021E-2</v>
      </c>
      <c r="I71" s="13">
        <f>SUMIF(SIGAF!$B$2:$B$547,$A71,SIGAF!$J$2:$J$547)</f>
        <v>0</v>
      </c>
      <c r="J71" s="67">
        <f t="shared" si="2"/>
        <v>0</v>
      </c>
      <c r="K71" s="13">
        <f>SUMIF(SIGAF!$B$2:$B$547,$A71,SIGAF!$K$2:$K$547)</f>
        <v>1203304967.49</v>
      </c>
      <c r="L71" s="142">
        <f t="shared" si="6"/>
        <v>0.89407951909523953</v>
      </c>
      <c r="M71" s="13">
        <f>SUMIF(SIGAF!$B$2:$B$547,$A71,SIGAF!$L$2:$L$547)</f>
        <v>1203277567.3900001</v>
      </c>
      <c r="N71" s="67">
        <f t="shared" si="3"/>
        <v>0.89405916027607657</v>
      </c>
      <c r="O71" s="86">
        <f>SUMIF(SIGAF!$B$2:$B$547,$A71,SIGAF!$M$2:$M$547)</f>
        <v>57470389.229999997</v>
      </c>
      <c r="P71" s="67">
        <f t="shared" si="4"/>
        <v>4.2701642021935431E-2</v>
      </c>
      <c r="Q71" s="13">
        <f>SUMIF(SIGAF!$B$2:$B$547,$A71,SIGAF!$N$2:$N$547)</f>
        <v>57470389.229999997</v>
      </c>
      <c r="R71" s="67">
        <f t="shared" si="5"/>
        <v>4.2701642021935431E-2</v>
      </c>
    </row>
    <row r="72" spans="1:18" x14ac:dyDescent="0.25">
      <c r="A72" s="11" t="s">
        <v>140</v>
      </c>
      <c r="B72" s="11" t="s">
        <v>141</v>
      </c>
      <c r="C72" s="13">
        <f>SUMIF(SIGAF!$B$2:$B$547,$A72,SIGAF!$F$2:$F$547)</f>
        <v>21314000</v>
      </c>
      <c r="D72" s="13">
        <f>SUMIF(SIGAF!$B$2:$B$547,$A72,SIGAF!$G$2:$G$547)</f>
        <v>21314000</v>
      </c>
      <c r="E72" s="13">
        <f>SUMIF(SIGAF!$B$2:$B$547,$A72,SIGAF!$H$2:$H$547)</f>
        <v>0</v>
      </c>
      <c r="F72" s="67">
        <f t="shared" si="1"/>
        <v>0</v>
      </c>
      <c r="G72" s="132">
        <f>SUMIF(SIGAF!$B$2:$B$547,$A72,SIGAF!$I$2:$I$547)</f>
        <v>4476220</v>
      </c>
      <c r="H72" s="67">
        <f t="shared" si="2"/>
        <v>0.21001313690532045</v>
      </c>
      <c r="I72" s="13">
        <f>SUMIF(SIGAF!$B$2:$B$547,$A72,SIGAF!$J$2:$J$547)</f>
        <v>0</v>
      </c>
      <c r="J72" s="67">
        <f t="shared" si="2"/>
        <v>0</v>
      </c>
      <c r="K72" s="13">
        <f>SUMIF(SIGAF!$B$2:$B$547,$A72,SIGAF!$K$2:$K$547)</f>
        <v>9959965</v>
      </c>
      <c r="L72" s="142">
        <f t="shared" si="6"/>
        <v>0.46729684714272307</v>
      </c>
      <c r="M72" s="13">
        <f>SUMIF(SIGAF!$B$2:$B$547,$A72,SIGAF!$L$2:$L$547)</f>
        <v>9703470</v>
      </c>
      <c r="N72" s="67">
        <f t="shared" si="3"/>
        <v>0.45526273810640894</v>
      </c>
      <c r="O72" s="86">
        <f>SUMIF(SIGAF!$B$2:$B$547,$A72,SIGAF!$M$2:$M$547)</f>
        <v>6877815</v>
      </c>
      <c r="P72" s="67">
        <f t="shared" si="4"/>
        <v>0.32269001595195645</v>
      </c>
      <c r="Q72" s="13">
        <f>SUMIF(SIGAF!$B$2:$B$547,$A72,SIGAF!$N$2:$N$547)</f>
        <v>6877815</v>
      </c>
      <c r="R72" s="67">
        <f t="shared" si="5"/>
        <v>0.32269001595195645</v>
      </c>
    </row>
    <row r="73" spans="1:18" x14ac:dyDescent="0.25">
      <c r="A73" s="11" t="s">
        <v>142</v>
      </c>
      <c r="B73" s="11" t="s">
        <v>450</v>
      </c>
      <c r="C73" s="13">
        <f>SUMIF(SIGAF!$B$2:$B$547,$A73,SIGAF!$F$2:$F$547)</f>
        <v>651366000</v>
      </c>
      <c r="D73" s="13">
        <f>SUMIF(SIGAF!$B$2:$B$547,$A73,SIGAF!$G$2:$G$547)</f>
        <v>651366000</v>
      </c>
      <c r="E73" s="13">
        <f>SUMIF(SIGAF!$B$2:$B$547,$A73,SIGAF!$H$2:$H$547)</f>
        <v>0</v>
      </c>
      <c r="F73" s="67">
        <f t="shared" si="1"/>
        <v>0</v>
      </c>
      <c r="G73" s="132">
        <f>SUMIF(SIGAF!$B$2:$B$547,$A73,SIGAF!$I$2:$I$547)</f>
        <v>83259956.030000001</v>
      </c>
      <c r="H73" s="67">
        <f t="shared" si="2"/>
        <v>0.12782361380544885</v>
      </c>
      <c r="I73" s="13">
        <f>SUMIF(SIGAF!$B$2:$B$547,$A73,SIGAF!$J$2:$J$547)</f>
        <v>0</v>
      </c>
      <c r="J73" s="67">
        <f t="shared" si="2"/>
        <v>0</v>
      </c>
      <c r="K73" s="13">
        <f>SUMIF(SIGAF!$B$2:$B$547,$A73,SIGAF!$K$2:$K$547)</f>
        <v>559133913.37</v>
      </c>
      <c r="L73" s="142">
        <f t="shared" si="6"/>
        <v>0.85840205563385252</v>
      </c>
      <c r="M73" s="13">
        <f>SUMIF(SIGAF!$B$2:$B$547,$A73,SIGAF!$L$2:$L$547)</f>
        <v>522969356.43000001</v>
      </c>
      <c r="N73" s="67">
        <f t="shared" si="3"/>
        <v>0.80288095545361593</v>
      </c>
      <c r="O73" s="86">
        <f>SUMIF(SIGAF!$B$2:$B$547,$A73,SIGAF!$M$2:$M$547)</f>
        <v>8972130.5999999996</v>
      </c>
      <c r="P73" s="67">
        <f t="shared" si="4"/>
        <v>1.3774330560698593E-2</v>
      </c>
      <c r="Q73" s="13">
        <f>SUMIF(SIGAF!$B$2:$B$547,$A73,SIGAF!$N$2:$N$547)</f>
        <v>8972130.5999999996</v>
      </c>
      <c r="R73" s="67">
        <f t="shared" si="5"/>
        <v>1.3774330560698593E-2</v>
      </c>
    </row>
    <row r="74" spans="1:18" x14ac:dyDescent="0.25">
      <c r="A74" s="11" t="s">
        <v>144</v>
      </c>
      <c r="B74" s="11" t="s">
        <v>451</v>
      </c>
      <c r="C74" s="13">
        <f>SUMIF(SIGAF!$B$2:$B$547,$A74,SIGAF!$F$2:$F$547)</f>
        <v>191374000</v>
      </c>
      <c r="D74" s="13">
        <f>SUMIF(SIGAF!$B$2:$B$547,$A74,SIGAF!$G$2:$G$547)</f>
        <v>191374000</v>
      </c>
      <c r="E74" s="13">
        <f>SUMIF(SIGAF!$B$2:$B$547,$A74,SIGAF!$H$2:$H$547)</f>
        <v>0</v>
      </c>
      <c r="F74" s="67">
        <f t="shared" si="1"/>
        <v>0</v>
      </c>
      <c r="G74" s="132">
        <f>SUMIF(SIGAF!$B$2:$B$547,$A74,SIGAF!$I$2:$I$547)</f>
        <v>38164704.75</v>
      </c>
      <c r="H74" s="67">
        <f t="shared" si="2"/>
        <v>0.19942471155956398</v>
      </c>
      <c r="I74" s="13">
        <f>SUMIF(SIGAF!$B$2:$B$547,$A74,SIGAF!$J$2:$J$547)</f>
        <v>0</v>
      </c>
      <c r="J74" s="67">
        <f t="shared" si="2"/>
        <v>0</v>
      </c>
      <c r="K74" s="13">
        <f>SUMIF(SIGAF!$B$2:$B$547,$A74,SIGAF!$K$2:$K$547)</f>
        <v>93071899.650000006</v>
      </c>
      <c r="L74" s="142">
        <f t="shared" si="6"/>
        <v>0.48633513251538874</v>
      </c>
      <c r="M74" s="13">
        <f>SUMIF(SIGAF!$B$2:$B$547,$A74,SIGAF!$L$2:$L$547)</f>
        <v>90251609.050000012</v>
      </c>
      <c r="N74" s="67">
        <f t="shared" si="3"/>
        <v>0.47159807000951026</v>
      </c>
      <c r="O74" s="86">
        <f>SUMIF(SIGAF!$B$2:$B$547,$A74,SIGAF!$M$2:$M$547)</f>
        <v>60137395.600000001</v>
      </c>
      <c r="P74" s="67">
        <f t="shared" si="4"/>
        <v>0.31424015592504728</v>
      </c>
      <c r="Q74" s="13">
        <f>SUMIF(SIGAF!$B$2:$B$547,$A74,SIGAF!$N$2:$N$547)</f>
        <v>60137395.600000001</v>
      </c>
      <c r="R74" s="67">
        <f t="shared" si="5"/>
        <v>0.31424015592504728</v>
      </c>
    </row>
    <row r="75" spans="1:18" x14ac:dyDescent="0.25">
      <c r="A75" s="11" t="s">
        <v>146</v>
      </c>
      <c r="B75" s="11" t="s">
        <v>452</v>
      </c>
      <c r="C75" s="13">
        <f>SUMIF(SIGAF!$B$2:$B$547,$A75,SIGAF!$F$2:$F$547)</f>
        <v>37423675</v>
      </c>
      <c r="D75" s="13">
        <f>SUMIF(SIGAF!$B$2:$B$547,$A75,SIGAF!$G$2:$G$547)</f>
        <v>37423675</v>
      </c>
      <c r="E75" s="13">
        <f>SUMIF(SIGAF!$B$2:$B$547,$A75,SIGAF!$H$2:$H$547)</f>
        <v>0</v>
      </c>
      <c r="F75" s="67">
        <f t="shared" ref="F75:F139" si="22">+IFERROR(+E75/$C75,0)</f>
        <v>0</v>
      </c>
      <c r="G75" s="132">
        <f>SUMIF(SIGAF!$B$2:$B$547,$A75,SIGAF!$I$2:$I$547)</f>
        <v>11286840.629999999</v>
      </c>
      <c r="H75" s="67">
        <f t="shared" ref="H75:J139" si="23">+IFERROR(+G75/$C75,0)</f>
        <v>0.30159626573285492</v>
      </c>
      <c r="I75" s="13">
        <f>SUMIF(SIGAF!$B$2:$B$547,$A75,SIGAF!$J$2:$J$547)</f>
        <v>0</v>
      </c>
      <c r="J75" s="67">
        <f t="shared" si="23"/>
        <v>0</v>
      </c>
      <c r="K75" s="13">
        <f>SUMIF(SIGAF!$B$2:$B$547,$A75,SIGAF!$K$2:$K$547)</f>
        <v>16268483.379999999</v>
      </c>
      <c r="L75" s="142">
        <f t="shared" si="6"/>
        <v>0.4347110052660515</v>
      </c>
      <c r="M75" s="13">
        <f>SUMIF(SIGAF!$B$2:$B$547,$A75,SIGAF!$L$2:$L$547)</f>
        <v>12873245.68</v>
      </c>
      <c r="N75" s="67">
        <f t="shared" ref="N75:N139" si="24">+IFERROR(+M75/$C75,0)</f>
        <v>0.34398667902070013</v>
      </c>
      <c r="O75" s="86">
        <f>SUMIF(SIGAF!$B$2:$B$547,$A75,SIGAF!$M$2:$M$547)</f>
        <v>9868350.9900000002</v>
      </c>
      <c r="P75" s="67">
        <f t="shared" ref="P75:P139" si="25">+IFERROR(+O75/$C75,0)</f>
        <v>0.26369272900109358</v>
      </c>
      <c r="Q75" s="13">
        <f>SUMIF(SIGAF!$B$2:$B$547,$A75,SIGAF!$N$2:$N$547)</f>
        <v>9868350.9900000002</v>
      </c>
      <c r="R75" s="67">
        <f t="shared" ref="R75:R139" si="26">+IFERROR(+Q75/$C75,0)</f>
        <v>0.26369272900109358</v>
      </c>
    </row>
    <row r="76" spans="1:18" x14ac:dyDescent="0.25">
      <c r="A76" s="11" t="s">
        <v>148</v>
      </c>
      <c r="B76" s="11" t="s">
        <v>453</v>
      </c>
      <c r="C76" s="13">
        <f>SUMIF(SIGAF!$B$2:$B$547,$A76,SIGAF!$F$2:$F$547)</f>
        <v>11100300</v>
      </c>
      <c r="D76" s="13">
        <f>SUMIF(SIGAF!$B$2:$B$547,$A76,SIGAF!$G$2:$G$547)</f>
        <v>11100300</v>
      </c>
      <c r="E76" s="13">
        <f>SUMIF(SIGAF!$B$2:$B$547,$A76,SIGAF!$H$2:$H$547)</f>
        <v>0</v>
      </c>
      <c r="F76" s="67">
        <f t="shared" si="22"/>
        <v>0</v>
      </c>
      <c r="G76" s="132">
        <f>SUMIF(SIGAF!$B$2:$B$547,$A76,SIGAF!$I$2:$I$547)</f>
        <v>4192619</v>
      </c>
      <c r="H76" s="67">
        <f t="shared" si="23"/>
        <v>0.37770321522841727</v>
      </c>
      <c r="I76" s="13">
        <f>SUMIF(SIGAF!$B$2:$B$547,$A76,SIGAF!$J$2:$J$547)</f>
        <v>0</v>
      </c>
      <c r="J76" s="67">
        <f t="shared" si="23"/>
        <v>0</v>
      </c>
      <c r="K76" s="13">
        <f>SUMIF(SIGAF!$B$2:$B$547,$A76,SIGAF!$K$2:$K$547)</f>
        <v>5025420</v>
      </c>
      <c r="L76" s="142">
        <f t="shared" si="6"/>
        <v>0.45272830464041514</v>
      </c>
      <c r="M76" s="13">
        <f>SUMIF(SIGAF!$B$2:$B$547,$A76,SIGAF!$L$2:$L$547)</f>
        <v>4617870</v>
      </c>
      <c r="N76" s="67">
        <f t="shared" si="24"/>
        <v>0.41601308072754789</v>
      </c>
      <c r="O76" s="86">
        <f>SUMIF(SIGAF!$B$2:$B$547,$A76,SIGAF!$M$2:$M$547)</f>
        <v>1882261</v>
      </c>
      <c r="P76" s="67">
        <f t="shared" si="25"/>
        <v>0.16956848013116763</v>
      </c>
      <c r="Q76" s="13">
        <f>SUMIF(SIGAF!$B$2:$B$547,$A76,SIGAF!$N$2:$N$547)</f>
        <v>1882261</v>
      </c>
      <c r="R76" s="67">
        <f t="shared" si="26"/>
        <v>0.16956848013116763</v>
      </c>
    </row>
    <row r="77" spans="1:18" x14ac:dyDescent="0.25">
      <c r="A77" s="11" t="s">
        <v>315</v>
      </c>
      <c r="B77" s="11" t="s">
        <v>546</v>
      </c>
      <c r="C77" s="13">
        <f>SUMIF(SIGAF!$B$2:$B$547,$A77,SIGAF!$F$2:$F$547)</f>
        <v>532875</v>
      </c>
      <c r="D77" s="13">
        <f>SUMIF(SIGAF!$B$2:$B$547,$A77,SIGAF!$G$2:$G$547)</f>
        <v>532875</v>
      </c>
      <c r="E77" s="13">
        <f>SUMIF(SIGAF!$B$2:$B$547,$A77,SIGAF!$H$2:$H$547)</f>
        <v>0</v>
      </c>
      <c r="F77" s="67">
        <f t="shared" si="22"/>
        <v>0</v>
      </c>
      <c r="G77" s="132">
        <f>SUMIF(SIGAF!$B$2:$B$547,$A77,SIGAF!$I$2:$I$547)</f>
        <v>0</v>
      </c>
      <c r="H77" s="67">
        <f t="shared" si="23"/>
        <v>0</v>
      </c>
      <c r="I77" s="13">
        <f>SUMIF(SIGAF!$B$2:$B$547,$A77,SIGAF!$J$2:$J$547)</f>
        <v>0</v>
      </c>
      <c r="J77" s="67">
        <f t="shared" si="23"/>
        <v>0</v>
      </c>
      <c r="K77" s="13">
        <f>SUMIF(SIGAF!$B$2:$B$547,$A77,SIGAF!$K$2:$K$547)</f>
        <v>374000</v>
      </c>
      <c r="L77" s="142">
        <f t="shared" ref="L77:L141" si="27">+IFERROR(+K77/$C77,0)</f>
        <v>0.70185315505512547</v>
      </c>
      <c r="M77" s="13">
        <f>SUMIF(SIGAF!$B$2:$B$547,$A77,SIGAF!$L$2:$L$547)</f>
        <v>374000</v>
      </c>
      <c r="N77" s="67">
        <f t="shared" si="24"/>
        <v>0.70185315505512547</v>
      </c>
      <c r="O77" s="86">
        <f>SUMIF(SIGAF!$B$2:$B$547,$A77,SIGAF!$M$2:$M$547)</f>
        <v>158875</v>
      </c>
      <c r="P77" s="67">
        <f t="shared" si="25"/>
        <v>0.29814684494487448</v>
      </c>
      <c r="Q77" s="13">
        <f>SUMIF(SIGAF!$B$2:$B$547,$A77,SIGAF!$N$2:$N$547)</f>
        <v>158875</v>
      </c>
      <c r="R77" s="67">
        <f t="shared" si="26"/>
        <v>0.29814684494487448</v>
      </c>
    </row>
    <row r="78" spans="1:18" x14ac:dyDescent="0.25">
      <c r="A78" s="11" t="s">
        <v>150</v>
      </c>
      <c r="B78" s="11" t="s">
        <v>454</v>
      </c>
      <c r="C78" s="13">
        <f>SUMIF(SIGAF!$B$2:$B$547,$A78,SIGAF!$F$2:$F$547)</f>
        <v>15539000</v>
      </c>
      <c r="D78" s="13">
        <f>SUMIF(SIGAF!$B$2:$B$547,$A78,SIGAF!$G$2:$G$547)</f>
        <v>15539000</v>
      </c>
      <c r="E78" s="13">
        <f>SUMIF(SIGAF!$B$2:$B$547,$A78,SIGAF!$H$2:$H$547)</f>
        <v>0</v>
      </c>
      <c r="F78" s="67">
        <f t="shared" si="22"/>
        <v>0</v>
      </c>
      <c r="G78" s="132">
        <f>SUMIF(SIGAF!$B$2:$B$547,$A78,SIGAF!$I$2:$I$547)</f>
        <v>3811130</v>
      </c>
      <c r="H78" s="67">
        <f t="shared" si="23"/>
        <v>0.24526224338760538</v>
      </c>
      <c r="I78" s="13">
        <f>SUMIF(SIGAF!$B$2:$B$547,$A78,SIGAF!$J$2:$J$547)</f>
        <v>0</v>
      </c>
      <c r="J78" s="67">
        <f t="shared" si="23"/>
        <v>0</v>
      </c>
      <c r="K78" s="13">
        <f>SUMIF(SIGAF!$B$2:$B$547,$A78,SIGAF!$K$2:$K$547)</f>
        <v>5289413</v>
      </c>
      <c r="L78" s="142">
        <f t="shared" si="27"/>
        <v>0.34039597142673272</v>
      </c>
      <c r="M78" s="13">
        <f>SUMIF(SIGAF!$B$2:$B$547,$A78,SIGAF!$L$2:$L$547)</f>
        <v>4240413</v>
      </c>
      <c r="N78" s="67">
        <f t="shared" si="24"/>
        <v>0.27288840980758095</v>
      </c>
      <c r="O78" s="86">
        <f>SUMIF(SIGAF!$B$2:$B$547,$A78,SIGAF!$M$2:$M$547)</f>
        <v>6438457</v>
      </c>
      <c r="P78" s="67">
        <f t="shared" si="25"/>
        <v>0.41434178518566189</v>
      </c>
      <c r="Q78" s="13">
        <f>SUMIF(SIGAF!$B$2:$B$547,$A78,SIGAF!$N$2:$N$547)</f>
        <v>6438457</v>
      </c>
      <c r="R78" s="67">
        <f t="shared" si="26"/>
        <v>0.41434178518566189</v>
      </c>
    </row>
    <row r="79" spans="1:18" x14ac:dyDescent="0.25">
      <c r="A79" s="11" t="s">
        <v>332</v>
      </c>
      <c r="B79" s="11" t="s">
        <v>333</v>
      </c>
      <c r="C79" s="13">
        <f>SUMIF(SIGAF!$B$2:$B$547,$A79,SIGAF!$F$2:$F$547)</f>
        <v>550000</v>
      </c>
      <c r="D79" s="13">
        <f>SUMIF(SIGAF!$B$2:$B$547,$A79,SIGAF!$G$2:$G$547)</f>
        <v>550000</v>
      </c>
      <c r="E79" s="13">
        <f>SUMIF(SIGAF!$B$2:$B$547,$A79,SIGAF!$H$2:$H$547)</f>
        <v>0</v>
      </c>
      <c r="F79" s="67">
        <f t="shared" si="22"/>
        <v>0</v>
      </c>
      <c r="G79" s="132">
        <f>SUMIF(SIGAF!$B$2:$B$547,$A79,SIGAF!$I$2:$I$547)</f>
        <v>0</v>
      </c>
      <c r="H79" s="67">
        <f t="shared" si="23"/>
        <v>0</v>
      </c>
      <c r="I79" s="13">
        <f>SUMIF(SIGAF!$B$2:$B$547,$A79,SIGAF!$J$2:$J$547)</f>
        <v>0</v>
      </c>
      <c r="J79" s="67">
        <f t="shared" si="23"/>
        <v>0</v>
      </c>
      <c r="K79" s="13">
        <f>SUMIF(SIGAF!$B$2:$B$547,$A79,SIGAF!$K$2:$K$547)</f>
        <v>0</v>
      </c>
      <c r="L79" s="142">
        <f t="shared" si="27"/>
        <v>0</v>
      </c>
      <c r="M79" s="13">
        <f>SUMIF(SIGAF!$B$2:$B$547,$A79,SIGAF!$L$2:$L$547)</f>
        <v>0</v>
      </c>
      <c r="N79" s="67">
        <f t="shared" si="24"/>
        <v>0</v>
      </c>
      <c r="O79" s="86">
        <f>SUMIF(SIGAF!$B$2:$B$547,$A79,SIGAF!$M$2:$M$547)</f>
        <v>550000</v>
      </c>
      <c r="P79" s="67">
        <f t="shared" si="25"/>
        <v>1</v>
      </c>
      <c r="Q79" s="13">
        <f>SUMIF(SIGAF!$B$2:$B$547,$A79,SIGAF!$N$2:$N$547)</f>
        <v>550000</v>
      </c>
      <c r="R79" s="67">
        <f t="shared" si="26"/>
        <v>1</v>
      </c>
    </row>
    <row r="80" spans="1:18" x14ac:dyDescent="0.25">
      <c r="A80" s="11" t="s">
        <v>152</v>
      </c>
      <c r="B80" s="11" t="s">
        <v>455</v>
      </c>
      <c r="C80" s="13">
        <f>SUMIF(SIGAF!$B$2:$B$547,$A80,SIGAF!$F$2:$F$547)</f>
        <v>200000</v>
      </c>
      <c r="D80" s="13">
        <f>SUMIF(SIGAF!$B$2:$B$547,$A80,SIGAF!$G$2:$G$547)</f>
        <v>200000</v>
      </c>
      <c r="E80" s="13">
        <f>SUMIF(SIGAF!$B$2:$B$547,$A80,SIGAF!$H$2:$H$547)</f>
        <v>0</v>
      </c>
      <c r="F80" s="67">
        <f t="shared" si="22"/>
        <v>0</v>
      </c>
      <c r="G80" s="132">
        <f>SUMIF(SIGAF!$B$2:$B$547,$A80,SIGAF!$I$2:$I$547)</f>
        <v>7706.5</v>
      </c>
      <c r="H80" s="67">
        <f t="shared" si="23"/>
        <v>3.8532499999999997E-2</v>
      </c>
      <c r="I80" s="13">
        <f>SUMIF(SIGAF!$B$2:$B$547,$A80,SIGAF!$J$2:$J$547)</f>
        <v>0</v>
      </c>
      <c r="J80" s="67">
        <f t="shared" si="23"/>
        <v>0</v>
      </c>
      <c r="K80" s="13">
        <f>SUMIF(SIGAF!$B$2:$B$547,$A80,SIGAF!$K$2:$K$547)</f>
        <v>43259.5</v>
      </c>
      <c r="L80" s="142">
        <f t="shared" si="27"/>
        <v>0.2162975</v>
      </c>
      <c r="M80" s="13">
        <f>SUMIF(SIGAF!$B$2:$B$547,$A80,SIGAF!$L$2:$L$547)</f>
        <v>42687.5</v>
      </c>
      <c r="N80" s="67">
        <f t="shared" si="24"/>
        <v>0.2134375</v>
      </c>
      <c r="O80" s="86">
        <f>SUMIF(SIGAF!$B$2:$B$547,$A80,SIGAF!$M$2:$M$547)</f>
        <v>149034</v>
      </c>
      <c r="P80" s="67">
        <f t="shared" si="25"/>
        <v>0.74517</v>
      </c>
      <c r="Q80" s="13">
        <f>SUMIF(SIGAF!$B$2:$B$547,$A80,SIGAF!$N$2:$N$547)</f>
        <v>149034</v>
      </c>
      <c r="R80" s="67">
        <f t="shared" si="26"/>
        <v>0.74517</v>
      </c>
    </row>
    <row r="81" spans="1:18" x14ac:dyDescent="0.25">
      <c r="A81" s="11" t="s">
        <v>334</v>
      </c>
      <c r="B81" s="11" t="s">
        <v>456</v>
      </c>
      <c r="C81" s="13">
        <f>SUMIF(SIGAF!$B$2:$B$547,$A81,SIGAF!$F$2:$F$547)</f>
        <v>9501500</v>
      </c>
      <c r="D81" s="13">
        <f>SUMIF(SIGAF!$B$2:$B$547,$A81,SIGAF!$G$2:$G$547)</f>
        <v>9501500</v>
      </c>
      <c r="E81" s="13">
        <f>SUMIF(SIGAF!$B$2:$B$547,$A81,SIGAF!$H$2:$H$547)</f>
        <v>0</v>
      </c>
      <c r="F81" s="67">
        <f t="shared" si="22"/>
        <v>0</v>
      </c>
      <c r="G81" s="132">
        <f>SUMIF(SIGAF!$B$2:$B$547,$A81,SIGAF!$I$2:$I$547)</f>
        <v>3275385.13</v>
      </c>
      <c r="H81" s="67">
        <f t="shared" si="23"/>
        <v>0.34472295216544757</v>
      </c>
      <c r="I81" s="13">
        <f>SUMIF(SIGAF!$B$2:$B$547,$A81,SIGAF!$J$2:$J$547)</f>
        <v>0</v>
      </c>
      <c r="J81" s="67">
        <f t="shared" si="23"/>
        <v>0</v>
      </c>
      <c r="K81" s="13">
        <f>SUMIF(SIGAF!$B$2:$B$547,$A81,SIGAF!$K$2:$K$547)</f>
        <v>5536390.8799999999</v>
      </c>
      <c r="L81" s="142">
        <f t="shared" si="27"/>
        <v>0.58268598431826557</v>
      </c>
      <c r="M81" s="13">
        <f>SUMIF(SIGAF!$B$2:$B$547,$A81,SIGAF!$L$2:$L$547)</f>
        <v>3598275.18</v>
      </c>
      <c r="N81" s="67">
        <f t="shared" si="24"/>
        <v>0.37870601273483134</v>
      </c>
      <c r="O81" s="86">
        <f>SUMIF(SIGAF!$B$2:$B$547,$A81,SIGAF!$M$2:$M$547)</f>
        <v>689723.99</v>
      </c>
      <c r="P81" s="67">
        <f t="shared" si="25"/>
        <v>7.2591063516286899E-2</v>
      </c>
      <c r="Q81" s="13">
        <f>SUMIF(SIGAF!$B$2:$B$547,$A81,SIGAF!$N$2:$N$547)</f>
        <v>689723.99</v>
      </c>
      <c r="R81" s="67">
        <f t="shared" si="26"/>
        <v>7.2591063516286899E-2</v>
      </c>
    </row>
    <row r="82" spans="1:18" x14ac:dyDescent="0.25">
      <c r="A82" s="11" t="s">
        <v>154</v>
      </c>
      <c r="B82" s="11" t="s">
        <v>457</v>
      </c>
      <c r="C82" s="13">
        <f>SUMIF(SIGAF!$B$2:$B$547,$A82,SIGAF!$F$2:$F$547)</f>
        <v>675636277</v>
      </c>
      <c r="D82" s="13">
        <f>SUMIF(SIGAF!$B$2:$B$547,$A82,SIGAF!$G$2:$G$547)</f>
        <v>675636277</v>
      </c>
      <c r="E82" s="13">
        <f>SUMIF(SIGAF!$B$2:$B$547,$A82,SIGAF!$H$2:$H$547)</f>
        <v>0</v>
      </c>
      <c r="F82" s="67">
        <f t="shared" si="22"/>
        <v>0</v>
      </c>
      <c r="G82" s="132">
        <f>SUMIF(SIGAF!$B$2:$B$547,$A82,SIGAF!$I$2:$I$547)</f>
        <v>90943873.650000006</v>
      </c>
      <c r="H82" s="67">
        <f t="shared" si="23"/>
        <v>0.13460478181221167</v>
      </c>
      <c r="I82" s="13">
        <f>SUMIF(SIGAF!$B$2:$B$547,$A82,SIGAF!$J$2:$J$547)</f>
        <v>0</v>
      </c>
      <c r="J82" s="67">
        <f t="shared" si="23"/>
        <v>0</v>
      </c>
      <c r="K82" s="13">
        <f>SUMIF(SIGAF!$B$2:$B$547,$A82,SIGAF!$K$2:$K$547)</f>
        <v>508342985.34000003</v>
      </c>
      <c r="L82" s="142">
        <f t="shared" si="27"/>
        <v>0.75239149028109398</v>
      </c>
      <c r="M82" s="13">
        <f>SUMIF(SIGAF!$B$2:$B$547,$A82,SIGAF!$L$2:$L$547)</f>
        <v>432288800.02999997</v>
      </c>
      <c r="N82" s="67">
        <f t="shared" si="24"/>
        <v>0.63982473225013048</v>
      </c>
      <c r="O82" s="86">
        <f>SUMIF(SIGAF!$B$2:$B$547,$A82,SIGAF!$M$2:$M$547)</f>
        <v>76349418.010000005</v>
      </c>
      <c r="P82" s="67">
        <f t="shared" si="25"/>
        <v>0.1130037279066944</v>
      </c>
      <c r="Q82" s="13">
        <f>SUMIF(SIGAF!$B$2:$B$547,$A82,SIGAF!$N$2:$N$547)</f>
        <v>76349418.010000005</v>
      </c>
      <c r="R82" s="67">
        <f t="shared" si="26"/>
        <v>0.1130037279066944</v>
      </c>
    </row>
    <row r="83" spans="1:18" x14ac:dyDescent="0.25">
      <c r="A83" s="11" t="s">
        <v>371</v>
      </c>
      <c r="B83" s="11" t="s">
        <v>458</v>
      </c>
      <c r="C83" s="13">
        <f>SUMIF(SIGAF!$B$2:$B$547,$A83,SIGAF!$F$2:$F$547)</f>
        <v>24045000</v>
      </c>
      <c r="D83" s="13">
        <f>SUMIF(SIGAF!$B$2:$B$547,$A83,SIGAF!$G$2:$G$547)</f>
        <v>24045000</v>
      </c>
      <c r="E83" s="13">
        <f>SUMIF(SIGAF!$B$2:$B$547,$A83,SIGAF!$H$2:$H$547)</f>
        <v>0</v>
      </c>
      <c r="F83" s="67">
        <f t="shared" si="22"/>
        <v>0</v>
      </c>
      <c r="G83" s="132">
        <f>SUMIF(SIGAF!$B$2:$B$547,$A83,SIGAF!$I$2:$I$547)</f>
        <v>1800000</v>
      </c>
      <c r="H83" s="67">
        <f t="shared" si="23"/>
        <v>7.4859638178415469E-2</v>
      </c>
      <c r="I83" s="13">
        <f>SUMIF(SIGAF!$B$2:$B$547,$A83,SIGAF!$J$2:$J$547)</f>
        <v>0</v>
      </c>
      <c r="J83" s="67">
        <f t="shared" si="23"/>
        <v>0</v>
      </c>
      <c r="K83" s="13">
        <f>SUMIF(SIGAF!$B$2:$B$547,$A83,SIGAF!$K$2:$K$547)</f>
        <v>21668616</v>
      </c>
      <c r="L83" s="142">
        <f t="shared" si="27"/>
        <v>0.9011693075483469</v>
      </c>
      <c r="M83" s="13">
        <f>SUMIF(SIGAF!$B$2:$B$547,$A83,SIGAF!$L$2:$L$547)</f>
        <v>2540000</v>
      </c>
      <c r="N83" s="67">
        <f t="shared" si="24"/>
        <v>0.10563526720731961</v>
      </c>
      <c r="O83" s="86">
        <f>SUMIF(SIGAF!$B$2:$B$547,$A83,SIGAF!$M$2:$M$547)</f>
        <v>576384</v>
      </c>
      <c r="P83" s="67">
        <f t="shared" si="25"/>
        <v>2.3971054273237681E-2</v>
      </c>
      <c r="Q83" s="13">
        <f>SUMIF(SIGAF!$B$2:$B$547,$A83,SIGAF!$N$2:$N$547)</f>
        <v>576384</v>
      </c>
      <c r="R83" s="67">
        <f t="shared" si="26"/>
        <v>2.3971054273237681E-2</v>
      </c>
    </row>
    <row r="84" spans="1:18" x14ac:dyDescent="0.25">
      <c r="A84" s="11" t="s">
        <v>336</v>
      </c>
      <c r="B84" s="11" t="s">
        <v>547</v>
      </c>
      <c r="C84" s="13">
        <f>SUMIF(SIGAF!$B$2:$B$547,$A84,SIGAF!$F$2:$F$547)</f>
        <v>2000000</v>
      </c>
      <c r="D84" s="13">
        <f>SUMIF(SIGAF!$B$2:$B$547,$A84,SIGAF!$G$2:$G$547)</f>
        <v>2000000</v>
      </c>
      <c r="E84" s="13">
        <f>SUMIF(SIGAF!$B$2:$B$547,$A84,SIGAF!$H$2:$H$547)</f>
        <v>0</v>
      </c>
      <c r="F84" s="67">
        <f t="shared" si="22"/>
        <v>0</v>
      </c>
      <c r="G84" s="132">
        <f>SUMIF(SIGAF!$B$2:$B$547,$A84,SIGAF!$I$2:$I$547)</f>
        <v>0</v>
      </c>
      <c r="H84" s="67">
        <f t="shared" si="23"/>
        <v>0</v>
      </c>
      <c r="I84" s="13">
        <f>SUMIF(SIGAF!$B$2:$B$547,$A84,SIGAF!$J$2:$J$547)</f>
        <v>0</v>
      </c>
      <c r="J84" s="67">
        <f t="shared" si="23"/>
        <v>0</v>
      </c>
      <c r="K84" s="13">
        <f>SUMIF(SIGAF!$B$2:$B$547,$A84,SIGAF!$K$2:$K$547)</f>
        <v>9300</v>
      </c>
      <c r="L84" s="142">
        <f t="shared" si="27"/>
        <v>4.6499999999999996E-3</v>
      </c>
      <c r="M84" s="13">
        <f>SUMIF(SIGAF!$B$2:$B$547,$A84,SIGAF!$L$2:$L$547)</f>
        <v>9300</v>
      </c>
      <c r="N84" s="67">
        <f t="shared" si="24"/>
        <v>4.6499999999999996E-3</v>
      </c>
      <c r="O84" s="86">
        <f>SUMIF(SIGAF!$B$2:$B$547,$A84,SIGAF!$M$2:$M$547)</f>
        <v>1990700</v>
      </c>
      <c r="P84" s="67">
        <f t="shared" si="25"/>
        <v>0.99534999999999996</v>
      </c>
      <c r="Q84" s="13">
        <f>SUMIF(SIGAF!$B$2:$B$547,$A84,SIGAF!$N$2:$N$547)</f>
        <v>1990700</v>
      </c>
      <c r="R84" s="67">
        <f t="shared" si="26"/>
        <v>0.99534999999999996</v>
      </c>
    </row>
    <row r="85" spans="1:18" x14ac:dyDescent="0.25">
      <c r="A85" s="11" t="s">
        <v>338</v>
      </c>
      <c r="B85" s="11" t="s">
        <v>459</v>
      </c>
      <c r="C85" s="13">
        <f>SUMIF(SIGAF!$B$2:$B$547,$A85,SIGAF!$F$2:$F$547)</f>
        <v>92680000</v>
      </c>
      <c r="D85" s="13">
        <f>SUMIF(SIGAF!$B$2:$B$547,$A85,SIGAF!$G$2:$G$547)</f>
        <v>92680000</v>
      </c>
      <c r="E85" s="13">
        <f>SUMIF(SIGAF!$B$2:$B$547,$A85,SIGAF!$H$2:$H$547)</f>
        <v>0</v>
      </c>
      <c r="F85" s="67">
        <f t="shared" si="22"/>
        <v>0</v>
      </c>
      <c r="G85" s="132">
        <f>SUMIF(SIGAF!$B$2:$B$547,$A85,SIGAF!$I$2:$I$547)</f>
        <v>31490822.160000004</v>
      </c>
      <c r="H85" s="67">
        <f t="shared" si="23"/>
        <v>0.33978012688821757</v>
      </c>
      <c r="I85" s="13">
        <f>SUMIF(SIGAF!$B$2:$B$547,$A85,SIGAF!$J$2:$J$547)</f>
        <v>0</v>
      </c>
      <c r="J85" s="67">
        <f t="shared" si="23"/>
        <v>0</v>
      </c>
      <c r="K85" s="13">
        <f>SUMIF(SIGAF!$B$2:$B$547,$A85,SIGAF!$K$2:$K$547)</f>
        <v>61154918.75</v>
      </c>
      <c r="L85" s="142">
        <f t="shared" si="27"/>
        <v>0.65985022388864911</v>
      </c>
      <c r="M85" s="13">
        <f>SUMIF(SIGAF!$B$2:$B$547,$A85,SIGAF!$L$2:$L$547)</f>
        <v>57556517.599999994</v>
      </c>
      <c r="N85" s="67">
        <f t="shared" si="24"/>
        <v>0.62102414328873534</v>
      </c>
      <c r="O85" s="86">
        <f>SUMIF(SIGAF!$B$2:$B$547,$A85,SIGAF!$M$2:$M$547)</f>
        <v>34259.089999999997</v>
      </c>
      <c r="P85" s="67">
        <f t="shared" si="25"/>
        <v>3.6964922313336205E-4</v>
      </c>
      <c r="Q85" s="13">
        <f>SUMIF(SIGAF!$B$2:$B$547,$A85,SIGAF!$N$2:$N$547)</f>
        <v>34259.089999999997</v>
      </c>
      <c r="R85" s="67">
        <f t="shared" si="26"/>
        <v>3.6964922313336205E-4</v>
      </c>
    </row>
    <row r="86" spans="1:18" x14ac:dyDescent="0.25">
      <c r="A86" s="11" t="s">
        <v>156</v>
      </c>
      <c r="B86" s="11" t="s">
        <v>460</v>
      </c>
      <c r="C86" s="13">
        <f>SUMIF(SIGAF!$B$2:$B$547,$A86,SIGAF!$F$2:$F$547)</f>
        <v>0</v>
      </c>
      <c r="D86" s="13">
        <f>SUMIF(SIGAF!$B$2:$B$547,$A86,SIGAF!$G$2:$G$547)</f>
        <v>0</v>
      </c>
      <c r="E86" s="13">
        <f>SUMIF(SIGAF!$B$2:$B$547,$A86,SIGAF!$H$2:$H$547)</f>
        <v>0</v>
      </c>
      <c r="F86" s="67">
        <f t="shared" si="22"/>
        <v>0</v>
      </c>
      <c r="G86" s="132">
        <f>SUMIF(SIGAF!$B$2:$B$547,$A86,SIGAF!$I$2:$I$547)</f>
        <v>0</v>
      </c>
      <c r="H86" s="67">
        <f t="shared" si="23"/>
        <v>0</v>
      </c>
      <c r="I86" s="13">
        <f>SUMIF(SIGAF!$B$2:$B$547,$A86,SIGAF!$J$2:$J$547)</f>
        <v>0</v>
      </c>
      <c r="J86" s="67">
        <f t="shared" si="23"/>
        <v>0</v>
      </c>
      <c r="K86" s="13">
        <f>SUMIF(SIGAF!$B$2:$B$547,$A86,SIGAF!$K$2:$K$547)</f>
        <v>0</v>
      </c>
      <c r="L86" s="142">
        <f t="shared" si="27"/>
        <v>0</v>
      </c>
      <c r="M86" s="13">
        <f>SUMIF(SIGAF!$B$2:$B$547,$A86,SIGAF!$L$2:$L$547)</f>
        <v>0</v>
      </c>
      <c r="N86" s="67">
        <f t="shared" si="24"/>
        <v>0</v>
      </c>
      <c r="O86" s="86">
        <f>SUMIF(SIGAF!$B$2:$B$547,$A86,SIGAF!$M$2:$M$547)</f>
        <v>0</v>
      </c>
      <c r="P86" s="67">
        <f t="shared" si="25"/>
        <v>0</v>
      </c>
      <c r="Q86" s="13">
        <f>SUMIF(SIGAF!$B$2:$B$547,$A86,SIGAF!$N$2:$N$547)</f>
        <v>0</v>
      </c>
      <c r="R86" s="67">
        <f t="shared" si="26"/>
        <v>0</v>
      </c>
    </row>
    <row r="87" spans="1:18" x14ac:dyDescent="0.25">
      <c r="A87" s="11" t="s">
        <v>340</v>
      </c>
      <c r="B87" s="11" t="s">
        <v>461</v>
      </c>
      <c r="C87" s="13">
        <f>SUMIF(SIGAF!$B$2:$B$547,$A87,SIGAF!$F$2:$F$547)</f>
        <v>30747000</v>
      </c>
      <c r="D87" s="13">
        <f>SUMIF(SIGAF!$B$2:$B$547,$A87,SIGAF!$G$2:$G$547)</f>
        <v>30747000</v>
      </c>
      <c r="E87" s="13">
        <f>SUMIF(SIGAF!$B$2:$B$547,$A87,SIGAF!$H$2:$H$547)</f>
        <v>0</v>
      </c>
      <c r="F87" s="67">
        <f t="shared" si="22"/>
        <v>0</v>
      </c>
      <c r="G87" s="132">
        <f>SUMIF(SIGAF!$B$2:$B$547,$A87,SIGAF!$I$2:$I$547)</f>
        <v>1393831.88</v>
      </c>
      <c r="H87" s="67">
        <f t="shared" si="23"/>
        <v>4.5332288678570261E-2</v>
      </c>
      <c r="I87" s="13">
        <f>SUMIF(SIGAF!$B$2:$B$547,$A87,SIGAF!$J$2:$J$547)</f>
        <v>0</v>
      </c>
      <c r="J87" s="67">
        <f t="shared" si="23"/>
        <v>0</v>
      </c>
      <c r="K87" s="13">
        <f>SUMIF(SIGAF!$B$2:$B$547,$A87,SIGAF!$K$2:$K$547)</f>
        <v>27431451.09</v>
      </c>
      <c r="L87" s="142">
        <f t="shared" si="27"/>
        <v>0.89216675090252706</v>
      </c>
      <c r="M87" s="13">
        <f>SUMIF(SIGAF!$B$2:$B$547,$A87,SIGAF!$L$2:$L$547)</f>
        <v>25186582.539999999</v>
      </c>
      <c r="N87" s="67">
        <f t="shared" si="24"/>
        <v>0.81915577259570038</v>
      </c>
      <c r="O87" s="86">
        <f>SUMIF(SIGAF!$B$2:$B$547,$A87,SIGAF!$M$2:$M$547)</f>
        <v>1921717.03</v>
      </c>
      <c r="P87" s="67">
        <f t="shared" si="25"/>
        <v>6.2500960418902657E-2</v>
      </c>
      <c r="Q87" s="13">
        <f>SUMIF(SIGAF!$B$2:$B$547,$A87,SIGAF!$N$2:$N$547)</f>
        <v>1921717.03</v>
      </c>
      <c r="R87" s="67">
        <f t="shared" si="26"/>
        <v>6.2500960418902657E-2</v>
      </c>
    </row>
    <row r="88" spans="1:18" x14ac:dyDescent="0.25">
      <c r="A88" s="11" t="s">
        <v>158</v>
      </c>
      <c r="B88" s="11" t="s">
        <v>159</v>
      </c>
      <c r="C88" s="13">
        <f>SUMIF(SIGAF!$B$2:$B$547,$A88,SIGAF!$F$2:$F$547)</f>
        <v>435241165</v>
      </c>
      <c r="D88" s="13">
        <f>SUMIF(SIGAF!$B$2:$B$547,$A88,SIGAF!$G$2:$G$547)</f>
        <v>435241165</v>
      </c>
      <c r="E88" s="13">
        <f>SUMIF(SIGAF!$B$2:$B$547,$A88,SIGAF!$H$2:$H$547)</f>
        <v>0</v>
      </c>
      <c r="F88" s="67">
        <f t="shared" si="22"/>
        <v>0</v>
      </c>
      <c r="G88" s="132">
        <f>SUMIF(SIGAF!$B$2:$B$547,$A88,SIGAF!$I$2:$I$547)</f>
        <v>53904683.359999999</v>
      </c>
      <c r="H88" s="67">
        <f t="shared" si="23"/>
        <v>0.1238501495142354</v>
      </c>
      <c r="I88" s="13">
        <f>SUMIF(SIGAF!$B$2:$B$547,$A88,SIGAF!$J$2:$J$547)</f>
        <v>0</v>
      </c>
      <c r="J88" s="67">
        <f t="shared" si="23"/>
        <v>0</v>
      </c>
      <c r="K88" s="13">
        <f>SUMIF(SIGAF!$B$2:$B$547,$A88,SIGAF!$K$2:$K$547)</f>
        <v>363066479.60000002</v>
      </c>
      <c r="L88" s="142">
        <f t="shared" si="27"/>
        <v>0.83417311779321246</v>
      </c>
      <c r="M88" s="13">
        <f>SUMIF(SIGAF!$B$2:$B$547,$A88,SIGAF!$L$2:$L$547)</f>
        <v>319140375.31999999</v>
      </c>
      <c r="N88" s="67">
        <f t="shared" si="24"/>
        <v>0.73324951999887233</v>
      </c>
      <c r="O88" s="86">
        <f>SUMIF(SIGAF!$B$2:$B$547,$A88,SIGAF!$M$2:$M$547)</f>
        <v>18270002.039999999</v>
      </c>
      <c r="P88" s="67">
        <f t="shared" si="25"/>
        <v>4.1976732692552185E-2</v>
      </c>
      <c r="Q88" s="13">
        <f>SUMIF(SIGAF!$B$2:$B$547,$A88,SIGAF!$N$2:$N$547)</f>
        <v>18270002.039999999</v>
      </c>
      <c r="R88" s="67">
        <f t="shared" si="26"/>
        <v>4.1976732692552185E-2</v>
      </c>
    </row>
    <row r="89" spans="1:18" x14ac:dyDescent="0.25">
      <c r="A89" s="11" t="s">
        <v>160</v>
      </c>
      <c r="B89" s="11" t="s">
        <v>462</v>
      </c>
      <c r="C89" s="13">
        <f>SUMIF(SIGAF!$B$2:$B$547,$A89,SIGAF!$F$2:$F$547)</f>
        <v>90923112</v>
      </c>
      <c r="D89" s="13">
        <f>SUMIF(SIGAF!$B$2:$B$547,$A89,SIGAF!$G$2:$G$547)</f>
        <v>90923112</v>
      </c>
      <c r="E89" s="13">
        <f>SUMIF(SIGAF!$B$2:$B$547,$A89,SIGAF!$H$2:$H$547)</f>
        <v>0</v>
      </c>
      <c r="F89" s="67">
        <f t="shared" si="22"/>
        <v>0</v>
      </c>
      <c r="G89" s="132">
        <f>SUMIF(SIGAF!$B$2:$B$547,$A89,SIGAF!$I$2:$I$547)</f>
        <v>2354536.25</v>
      </c>
      <c r="H89" s="67">
        <f t="shared" si="23"/>
        <v>2.589590477281508E-2</v>
      </c>
      <c r="I89" s="13">
        <f>SUMIF(SIGAF!$B$2:$B$547,$A89,SIGAF!$J$2:$J$547)</f>
        <v>0</v>
      </c>
      <c r="J89" s="67">
        <f t="shared" si="23"/>
        <v>0</v>
      </c>
      <c r="K89" s="13">
        <f>SUMIF(SIGAF!$B$2:$B$547,$A89,SIGAF!$K$2:$K$547)</f>
        <v>35012219.899999999</v>
      </c>
      <c r="L89" s="142">
        <f t="shared" si="27"/>
        <v>0.3850750280082802</v>
      </c>
      <c r="M89" s="13">
        <f>SUMIF(SIGAF!$B$2:$B$547,$A89,SIGAF!$L$2:$L$547)</f>
        <v>27856024.57</v>
      </c>
      <c r="N89" s="67">
        <f t="shared" si="24"/>
        <v>0.30636901836355973</v>
      </c>
      <c r="O89" s="86">
        <f>SUMIF(SIGAF!$B$2:$B$547,$A89,SIGAF!$M$2:$M$547)</f>
        <v>53556355.850000001</v>
      </c>
      <c r="P89" s="67">
        <f t="shared" si="25"/>
        <v>0.58902906721890469</v>
      </c>
      <c r="Q89" s="13">
        <f>SUMIF(SIGAF!$B$2:$B$547,$A89,SIGAF!$N$2:$N$547)</f>
        <v>53556355.850000001</v>
      </c>
      <c r="R89" s="67">
        <f t="shared" si="26"/>
        <v>0.58902906721890469</v>
      </c>
    </row>
    <row r="90" spans="1:18" x14ac:dyDescent="0.25">
      <c r="A90" s="11" t="s">
        <v>162</v>
      </c>
      <c r="B90" s="11" t="s">
        <v>463</v>
      </c>
      <c r="C90" s="13">
        <f>SUMIF(SIGAF!$B$2:$B$547,$A90,SIGAF!$F$2:$F$547)</f>
        <v>244402500</v>
      </c>
      <c r="D90" s="13">
        <f>SUMIF(SIGAF!$B$2:$B$547,$A90,SIGAF!$G$2:$G$547)</f>
        <v>244402500</v>
      </c>
      <c r="E90" s="13">
        <f>SUMIF(SIGAF!$B$2:$B$547,$A90,SIGAF!$H$2:$H$547)</f>
        <v>0</v>
      </c>
      <c r="F90" s="67">
        <f t="shared" si="22"/>
        <v>0</v>
      </c>
      <c r="G90" s="132">
        <f>SUMIF(SIGAF!$B$2:$B$547,$A90,SIGAF!$I$2:$I$547)</f>
        <v>42339083.140000001</v>
      </c>
      <c r="H90" s="67">
        <f t="shared" si="23"/>
        <v>0.17323506568058838</v>
      </c>
      <c r="I90" s="13">
        <f>SUMIF(SIGAF!$B$2:$B$547,$A90,SIGAF!$J$2:$J$547)</f>
        <v>0</v>
      </c>
      <c r="J90" s="67">
        <f t="shared" si="23"/>
        <v>0</v>
      </c>
      <c r="K90" s="13">
        <f>SUMIF(SIGAF!$B$2:$B$547,$A90,SIGAF!$K$2:$K$547)</f>
        <v>175525251.44</v>
      </c>
      <c r="L90" s="142">
        <f t="shared" si="27"/>
        <v>0.71818108014443383</v>
      </c>
      <c r="M90" s="13">
        <f>SUMIF(SIGAF!$B$2:$B$547,$A90,SIGAF!$L$2:$L$547)</f>
        <v>175462786.44</v>
      </c>
      <c r="N90" s="67">
        <f t="shared" si="24"/>
        <v>0.71792549765243807</v>
      </c>
      <c r="O90" s="86">
        <f>SUMIF(SIGAF!$B$2:$B$547,$A90,SIGAF!$M$2:$M$547)</f>
        <v>26538165.420000002</v>
      </c>
      <c r="P90" s="67">
        <f t="shared" si="25"/>
        <v>0.10858385417497776</v>
      </c>
      <c r="Q90" s="13">
        <f>SUMIF(SIGAF!$B$2:$B$547,$A90,SIGAF!$N$2:$N$547)</f>
        <v>26538165.420000002</v>
      </c>
      <c r="R90" s="67">
        <f t="shared" si="26"/>
        <v>0.10858385417497776</v>
      </c>
    </row>
    <row r="91" spans="1:18" x14ac:dyDescent="0.25">
      <c r="A91" s="11" t="s">
        <v>164</v>
      </c>
      <c r="B91" s="11" t="s">
        <v>464</v>
      </c>
      <c r="C91" s="13">
        <f>SUMIF(SIGAF!$B$2:$B$547,$A91,SIGAF!$F$2:$F$547)</f>
        <v>9214000</v>
      </c>
      <c r="D91" s="13">
        <f>SUMIF(SIGAF!$B$2:$B$547,$A91,SIGAF!$G$2:$G$547)</f>
        <v>9214000</v>
      </c>
      <c r="E91" s="13">
        <f>SUMIF(SIGAF!$B$2:$B$547,$A91,SIGAF!$H$2:$H$547)</f>
        <v>0</v>
      </c>
      <c r="F91" s="67">
        <f t="shared" si="22"/>
        <v>0</v>
      </c>
      <c r="G91" s="132">
        <f>SUMIF(SIGAF!$B$2:$B$547,$A91,SIGAF!$I$2:$I$547)</f>
        <v>1169955</v>
      </c>
      <c r="H91" s="67">
        <f t="shared" si="23"/>
        <v>0.12697579769915346</v>
      </c>
      <c r="I91" s="13">
        <f>SUMIF(SIGAF!$B$2:$B$547,$A91,SIGAF!$J$2:$J$547)</f>
        <v>0</v>
      </c>
      <c r="J91" s="67">
        <f t="shared" si="23"/>
        <v>0</v>
      </c>
      <c r="K91" s="13">
        <f>SUMIF(SIGAF!$B$2:$B$547,$A91,SIGAF!$K$2:$K$547)</f>
        <v>7909125</v>
      </c>
      <c r="L91" s="142">
        <f t="shared" si="27"/>
        <v>0.85838126763620581</v>
      </c>
      <c r="M91" s="13">
        <f>SUMIF(SIGAF!$B$2:$B$547,$A91,SIGAF!$L$2:$L$547)</f>
        <v>7860160</v>
      </c>
      <c r="N91" s="67">
        <f t="shared" si="24"/>
        <v>0.85306707184718911</v>
      </c>
      <c r="O91" s="86">
        <f>SUMIF(SIGAF!$B$2:$B$547,$A91,SIGAF!$M$2:$M$547)</f>
        <v>134920</v>
      </c>
      <c r="P91" s="67">
        <f t="shared" si="25"/>
        <v>1.4642934664640764E-2</v>
      </c>
      <c r="Q91" s="13">
        <f>SUMIF(SIGAF!$B$2:$B$547,$A91,SIGAF!$N$2:$N$547)</f>
        <v>134920</v>
      </c>
      <c r="R91" s="67">
        <f t="shared" si="26"/>
        <v>1.4642934664640764E-2</v>
      </c>
    </row>
    <row r="92" spans="1:18" x14ac:dyDescent="0.25">
      <c r="A92" s="11" t="s">
        <v>166</v>
      </c>
      <c r="B92" s="11" t="s">
        <v>465</v>
      </c>
      <c r="C92" s="13">
        <f>SUMIF(SIGAF!$B$2:$B$547,$A92,SIGAF!$F$2:$F$547)</f>
        <v>201134500</v>
      </c>
      <c r="D92" s="13">
        <f>SUMIF(SIGAF!$B$2:$B$547,$A92,SIGAF!$G$2:$G$547)</f>
        <v>201134500</v>
      </c>
      <c r="E92" s="13">
        <f>SUMIF(SIGAF!$B$2:$B$547,$A92,SIGAF!$H$2:$H$547)</f>
        <v>0</v>
      </c>
      <c r="F92" s="67">
        <f t="shared" si="22"/>
        <v>0</v>
      </c>
      <c r="G92" s="132">
        <f>SUMIF(SIGAF!$B$2:$B$547,$A92,SIGAF!$I$2:$I$547)</f>
        <v>39927853</v>
      </c>
      <c r="H92" s="67">
        <f t="shared" si="23"/>
        <v>0.19851319887935684</v>
      </c>
      <c r="I92" s="13">
        <f>SUMIF(SIGAF!$B$2:$B$547,$A92,SIGAF!$J$2:$J$547)</f>
        <v>0</v>
      </c>
      <c r="J92" s="67">
        <f t="shared" si="23"/>
        <v>0</v>
      </c>
      <c r="K92" s="13">
        <f>SUMIF(SIGAF!$B$2:$B$547,$A92,SIGAF!$K$2:$K$547)</f>
        <v>144763589.41</v>
      </c>
      <c r="L92" s="142">
        <f t="shared" si="27"/>
        <v>0.71973524885089324</v>
      </c>
      <c r="M92" s="13">
        <f>SUMIF(SIGAF!$B$2:$B$547,$A92,SIGAF!$L$2:$L$547)</f>
        <v>144750089.41</v>
      </c>
      <c r="N92" s="67">
        <f t="shared" si="24"/>
        <v>0.71966812958492943</v>
      </c>
      <c r="O92" s="86">
        <f>SUMIF(SIGAF!$B$2:$B$547,$A92,SIGAF!$M$2:$M$547)</f>
        <v>16443057.59</v>
      </c>
      <c r="P92" s="67">
        <f t="shared" si="25"/>
        <v>8.1751552269749839E-2</v>
      </c>
      <c r="Q92" s="13">
        <f>SUMIF(SIGAF!$B$2:$B$547,$A92,SIGAF!$N$2:$N$547)</f>
        <v>16443057.59</v>
      </c>
      <c r="R92" s="67">
        <f t="shared" si="26"/>
        <v>8.1751552269749839E-2</v>
      </c>
    </row>
    <row r="93" spans="1:18" x14ac:dyDescent="0.25">
      <c r="A93" s="11" t="s">
        <v>168</v>
      </c>
      <c r="B93" s="11" t="s">
        <v>466</v>
      </c>
      <c r="C93" s="13">
        <f>SUMIF(SIGAF!$B$2:$B$547,$A93,SIGAF!$F$2:$F$547)</f>
        <v>15000000</v>
      </c>
      <c r="D93" s="13">
        <f>SUMIF(SIGAF!$B$2:$B$547,$A93,SIGAF!$G$2:$G$547)</f>
        <v>15000000</v>
      </c>
      <c r="E93" s="13">
        <f>SUMIF(SIGAF!$B$2:$B$547,$A93,SIGAF!$H$2:$H$547)</f>
        <v>0</v>
      </c>
      <c r="F93" s="67">
        <f t="shared" si="22"/>
        <v>0</v>
      </c>
      <c r="G93" s="132">
        <f>SUMIF(SIGAF!$B$2:$B$547,$A93,SIGAF!$I$2:$I$547)</f>
        <v>424947.26</v>
      </c>
      <c r="H93" s="67">
        <f t="shared" si="23"/>
        <v>2.8329817333333333E-2</v>
      </c>
      <c r="I93" s="13">
        <f>SUMIF(SIGAF!$B$2:$B$547,$A93,SIGAF!$J$2:$J$547)</f>
        <v>0</v>
      </c>
      <c r="J93" s="67">
        <f t="shared" si="23"/>
        <v>0</v>
      </c>
      <c r="K93" s="13">
        <f>SUMIF(SIGAF!$B$2:$B$547,$A93,SIGAF!$K$2:$K$547)</f>
        <v>10713649.82</v>
      </c>
      <c r="L93" s="142">
        <f t="shared" si="27"/>
        <v>0.71424332133333335</v>
      </c>
      <c r="M93" s="13">
        <f>SUMIF(SIGAF!$B$2:$B$547,$A93,SIGAF!$L$2:$L$547)</f>
        <v>10713649.82</v>
      </c>
      <c r="N93" s="67">
        <f t="shared" si="24"/>
        <v>0.71424332133333335</v>
      </c>
      <c r="O93" s="86">
        <f>SUMIF(SIGAF!$B$2:$B$547,$A93,SIGAF!$M$2:$M$547)</f>
        <v>3861402.92</v>
      </c>
      <c r="P93" s="67">
        <f t="shared" si="25"/>
        <v>0.25742686133333331</v>
      </c>
      <c r="Q93" s="13">
        <f>SUMIF(SIGAF!$B$2:$B$547,$A93,SIGAF!$N$2:$N$547)</f>
        <v>3861402.92</v>
      </c>
      <c r="R93" s="67">
        <f t="shared" si="26"/>
        <v>0.25742686133333331</v>
      </c>
    </row>
    <row r="94" spans="1:18" x14ac:dyDescent="0.25">
      <c r="A94" s="11" t="s">
        <v>170</v>
      </c>
      <c r="B94" s="11" t="s">
        <v>467</v>
      </c>
      <c r="C94" s="13">
        <f>SUMIF(SIGAF!$B$2:$B$547,$A94,SIGAF!$F$2:$F$547)</f>
        <v>19054000</v>
      </c>
      <c r="D94" s="13">
        <f>SUMIF(SIGAF!$B$2:$B$547,$A94,SIGAF!$G$2:$G$547)</f>
        <v>19054000</v>
      </c>
      <c r="E94" s="13">
        <f>SUMIF(SIGAF!$B$2:$B$547,$A94,SIGAF!$H$2:$H$547)</f>
        <v>0</v>
      </c>
      <c r="F94" s="67">
        <f t="shared" si="22"/>
        <v>0</v>
      </c>
      <c r="G94" s="132">
        <f>SUMIF(SIGAF!$B$2:$B$547,$A94,SIGAF!$I$2:$I$547)</f>
        <v>816327.88</v>
      </c>
      <c r="H94" s="67">
        <f t="shared" si="23"/>
        <v>4.2842861341450614E-2</v>
      </c>
      <c r="I94" s="13">
        <f>SUMIF(SIGAF!$B$2:$B$547,$A94,SIGAF!$J$2:$J$547)</f>
        <v>0</v>
      </c>
      <c r="J94" s="67">
        <f t="shared" si="23"/>
        <v>0</v>
      </c>
      <c r="K94" s="13">
        <f>SUMIF(SIGAF!$B$2:$B$547,$A94,SIGAF!$K$2:$K$547)</f>
        <v>12138887.209999999</v>
      </c>
      <c r="L94" s="142">
        <f t="shared" si="27"/>
        <v>0.63707815734229023</v>
      </c>
      <c r="M94" s="13">
        <f>SUMIF(SIGAF!$B$2:$B$547,$A94,SIGAF!$L$2:$L$547)</f>
        <v>12138887.209999999</v>
      </c>
      <c r="N94" s="67">
        <f t="shared" si="24"/>
        <v>0.63707815734229023</v>
      </c>
      <c r="O94" s="86">
        <f>SUMIF(SIGAF!$B$2:$B$547,$A94,SIGAF!$M$2:$M$547)</f>
        <v>6098784.9100000001</v>
      </c>
      <c r="P94" s="67">
        <f t="shared" si="25"/>
        <v>0.32007898131625906</v>
      </c>
      <c r="Q94" s="13">
        <f>SUMIF(SIGAF!$B$2:$B$547,$A94,SIGAF!$N$2:$N$547)</f>
        <v>6098784.9100000001</v>
      </c>
      <c r="R94" s="67">
        <f t="shared" si="26"/>
        <v>0.32007898131625906</v>
      </c>
    </row>
    <row r="95" spans="1:18" x14ac:dyDescent="0.25">
      <c r="A95" s="11" t="s">
        <v>172</v>
      </c>
      <c r="B95" s="11" t="s">
        <v>468</v>
      </c>
      <c r="C95" s="13">
        <f>SUMIF(SIGAF!$B$2:$B$547,$A95,SIGAF!$F$2:$F$547)</f>
        <v>1570140963</v>
      </c>
      <c r="D95" s="13">
        <f>SUMIF(SIGAF!$B$2:$B$547,$A95,SIGAF!$G$2:$G$547)</f>
        <v>1570140963</v>
      </c>
      <c r="E95" s="13">
        <f>SUMIF(SIGAF!$B$2:$B$547,$A95,SIGAF!$H$2:$H$547)</f>
        <v>0</v>
      </c>
      <c r="F95" s="67">
        <f t="shared" si="22"/>
        <v>0</v>
      </c>
      <c r="G95" s="132">
        <f>SUMIF(SIGAF!$B$2:$B$547,$A95,SIGAF!$I$2:$I$547)</f>
        <v>328210387.92000002</v>
      </c>
      <c r="H95" s="67">
        <f t="shared" si="23"/>
        <v>0.20903243444646061</v>
      </c>
      <c r="I95" s="13">
        <f>SUMIF(SIGAF!$B$2:$B$547,$A95,SIGAF!$J$2:$J$547)</f>
        <v>0</v>
      </c>
      <c r="J95" s="67">
        <f t="shared" si="23"/>
        <v>0</v>
      </c>
      <c r="K95" s="13">
        <f>SUMIF(SIGAF!$B$2:$B$547,$A95,SIGAF!$K$2:$K$547)</f>
        <v>1206052439.01</v>
      </c>
      <c r="L95" s="142">
        <f t="shared" si="27"/>
        <v>0.76811730120437605</v>
      </c>
      <c r="M95" s="13">
        <f>SUMIF(SIGAF!$B$2:$B$547,$A95,SIGAF!$L$2:$L$547)</f>
        <v>816302713</v>
      </c>
      <c r="N95" s="67">
        <f t="shared" si="24"/>
        <v>0.51989135513051388</v>
      </c>
      <c r="O95" s="86">
        <f>SUMIF(SIGAF!$B$2:$B$547,$A95,SIGAF!$M$2:$M$547)</f>
        <v>35878136.07</v>
      </c>
      <c r="P95" s="67">
        <f t="shared" si="25"/>
        <v>2.2850264349163409E-2</v>
      </c>
      <c r="Q95" s="13">
        <f>SUMIF(SIGAF!$B$2:$B$547,$A95,SIGAF!$N$2:$N$547)</f>
        <v>35878136.07</v>
      </c>
      <c r="R95" s="67">
        <f t="shared" si="26"/>
        <v>2.2850264349163409E-2</v>
      </c>
    </row>
    <row r="96" spans="1:18" x14ac:dyDescent="0.25">
      <c r="A96" s="11" t="s">
        <v>174</v>
      </c>
      <c r="B96" s="11" t="s">
        <v>175</v>
      </c>
      <c r="C96" s="13">
        <f>SUMIF(SIGAF!$B$2:$B$547,$A96,SIGAF!$F$2:$F$547)</f>
        <v>1568740963</v>
      </c>
      <c r="D96" s="13">
        <f>SUMIF(SIGAF!$B$2:$B$547,$A96,SIGAF!$G$2:$G$547)</f>
        <v>1568740963</v>
      </c>
      <c r="E96" s="13">
        <f>SUMIF(SIGAF!$B$2:$B$547,$A96,SIGAF!$H$2:$H$547)</f>
        <v>0</v>
      </c>
      <c r="F96" s="67">
        <f t="shared" si="22"/>
        <v>0</v>
      </c>
      <c r="G96" s="132">
        <f>SUMIF(SIGAF!$B$2:$B$547,$A96,SIGAF!$I$2:$I$547)</f>
        <v>328210387.92000002</v>
      </c>
      <c r="H96" s="67">
        <f t="shared" si="23"/>
        <v>0.20921898239486464</v>
      </c>
      <c r="I96" s="13">
        <f>SUMIF(SIGAF!$B$2:$B$547,$A96,SIGAF!$J$2:$J$547)</f>
        <v>0</v>
      </c>
      <c r="J96" s="67">
        <f t="shared" si="23"/>
        <v>0</v>
      </c>
      <c r="K96" s="13">
        <f>SUMIF(SIGAF!$B$2:$B$547,$A96,SIGAF!$K$2:$K$547)</f>
        <v>1206052439.01</v>
      </c>
      <c r="L96" s="142">
        <f t="shared" si="27"/>
        <v>0.76880279629059445</v>
      </c>
      <c r="M96" s="13">
        <f>SUMIF(SIGAF!$B$2:$B$547,$A96,SIGAF!$L$2:$L$547)</f>
        <v>816302713</v>
      </c>
      <c r="N96" s="67">
        <f t="shared" si="24"/>
        <v>0.52035532459032241</v>
      </c>
      <c r="O96" s="86">
        <f>SUMIF(SIGAF!$B$2:$B$547,$A96,SIGAF!$M$2:$M$547)</f>
        <v>34478136.07</v>
      </c>
      <c r="P96" s="67">
        <f t="shared" si="25"/>
        <v>2.1978221314540889E-2</v>
      </c>
      <c r="Q96" s="13">
        <f>SUMIF(SIGAF!$B$2:$B$547,$A96,SIGAF!$N$2:$N$547)</f>
        <v>34478136.07</v>
      </c>
      <c r="R96" s="67">
        <f t="shared" si="26"/>
        <v>2.1978221314540889E-2</v>
      </c>
    </row>
    <row r="97" spans="1:18" x14ac:dyDescent="0.25">
      <c r="A97" s="11" t="s">
        <v>581</v>
      </c>
      <c r="B97" s="11" t="s">
        <v>582</v>
      </c>
      <c r="C97" s="13">
        <f>SUMIF(SIGAF!$B$2:$B$547,$A97,SIGAF!$F$2:$F$547)</f>
        <v>1400000</v>
      </c>
      <c r="D97" s="13">
        <f>SUMIF(SIGAF!$B$2:$B$547,$A97,SIGAF!$G$2:$G$547)</f>
        <v>1400000</v>
      </c>
      <c r="E97" s="13">
        <f>SUMIF(SIGAF!$B$2:$B$547,$A97,SIGAF!$H$2:$H$547)</f>
        <v>0</v>
      </c>
      <c r="F97" s="67">
        <f t="shared" ref="F97" si="28">+IFERROR(+E97/$C97,0)</f>
        <v>0</v>
      </c>
      <c r="G97" s="132">
        <f>SUMIF(SIGAF!$B$2:$B$547,$A97,SIGAF!$I$2:$I$547)</f>
        <v>0</v>
      </c>
      <c r="H97" s="67">
        <f t="shared" ref="H97" si="29">+IFERROR(+G97/$C97,0)</f>
        <v>0</v>
      </c>
      <c r="I97" s="13">
        <f>SUMIF(SIGAF!$B$2:$B$547,$A97,SIGAF!$J$2:$J$547)</f>
        <v>0</v>
      </c>
      <c r="J97" s="67">
        <f t="shared" ref="J97" si="30">+IFERROR(+I97/$C97,0)</f>
        <v>0</v>
      </c>
      <c r="K97" s="13">
        <f>SUMIF(SIGAF!$B$2:$B$547,$A97,SIGAF!$K$2:$K$547)</f>
        <v>0</v>
      </c>
      <c r="L97" s="142">
        <f t="shared" ref="L97" si="31">+IFERROR(+K97/$C97,0)</f>
        <v>0</v>
      </c>
      <c r="M97" s="13">
        <f>SUMIF(SIGAF!$B$2:$B$547,$A97,SIGAF!$L$2:$L$547)</f>
        <v>0</v>
      </c>
      <c r="N97" s="67">
        <f t="shared" ref="N97" si="32">+IFERROR(+M97/$C97,0)</f>
        <v>0</v>
      </c>
      <c r="O97" s="86">
        <f>SUMIF(SIGAF!$B$2:$B$547,$A97,SIGAF!$M$2:$M$547)</f>
        <v>1400000</v>
      </c>
      <c r="P97" s="67">
        <f t="shared" ref="P97" si="33">+IFERROR(+O97/$C97,0)</f>
        <v>1</v>
      </c>
      <c r="Q97" s="13">
        <f>SUMIF(SIGAF!$B$2:$B$547,$A97,SIGAF!$N$2:$N$547)</f>
        <v>1400000</v>
      </c>
      <c r="R97" s="67">
        <f t="shared" ref="R97" si="34">+IFERROR(+Q97/$C97,0)</f>
        <v>1</v>
      </c>
    </row>
    <row r="98" spans="1:18" x14ac:dyDescent="0.25">
      <c r="A98" s="11" t="s">
        <v>176</v>
      </c>
      <c r="B98" s="11" t="s">
        <v>469</v>
      </c>
      <c r="C98" s="13">
        <f>SUMIF(SIGAF!$B$2:$B$547,$A98,SIGAF!$F$2:$F$547)</f>
        <v>38235630</v>
      </c>
      <c r="D98" s="13">
        <f>SUMIF(SIGAF!$B$2:$B$547,$A98,SIGAF!$G$2:$G$547)</f>
        <v>38235630</v>
      </c>
      <c r="E98" s="13">
        <f>SUMIF(SIGAF!$B$2:$B$547,$A98,SIGAF!$H$2:$H$547)</f>
        <v>0</v>
      </c>
      <c r="F98" s="67">
        <f t="shared" si="22"/>
        <v>0</v>
      </c>
      <c r="G98" s="132">
        <f>SUMIF(SIGAF!$B$2:$B$547,$A98,SIGAF!$I$2:$I$547)</f>
        <v>750400.97</v>
      </c>
      <c r="H98" s="67">
        <f t="shared" si="23"/>
        <v>1.962569911885851E-2</v>
      </c>
      <c r="I98" s="13">
        <f>SUMIF(SIGAF!$B$2:$B$547,$A98,SIGAF!$J$2:$J$547)</f>
        <v>0</v>
      </c>
      <c r="J98" s="67">
        <f t="shared" si="23"/>
        <v>0</v>
      </c>
      <c r="K98" s="13">
        <f>SUMIF(SIGAF!$B$2:$B$547,$A98,SIGAF!$K$2:$K$547)</f>
        <v>24214787.23</v>
      </c>
      <c r="L98" s="142">
        <f t="shared" si="27"/>
        <v>0.63330425652722344</v>
      </c>
      <c r="M98" s="13">
        <f>SUMIF(SIGAF!$B$2:$B$547,$A98,SIGAF!$L$2:$L$547)</f>
        <v>17805027.23</v>
      </c>
      <c r="N98" s="67">
        <f t="shared" si="24"/>
        <v>0.46566585224305185</v>
      </c>
      <c r="O98" s="86">
        <f>SUMIF(SIGAF!$B$2:$B$547,$A98,SIGAF!$M$2:$M$547)</f>
        <v>13270441.800000001</v>
      </c>
      <c r="P98" s="67">
        <f t="shared" si="25"/>
        <v>0.34707004435391808</v>
      </c>
      <c r="Q98" s="13">
        <f>SUMIF(SIGAF!$B$2:$B$547,$A98,SIGAF!$N$2:$N$547)</f>
        <v>13270441.800000001</v>
      </c>
      <c r="R98" s="67">
        <f t="shared" si="26"/>
        <v>0.34707004435391808</v>
      </c>
    </row>
    <row r="99" spans="1:18" x14ac:dyDescent="0.25">
      <c r="A99" s="11" t="s">
        <v>317</v>
      </c>
      <c r="B99" s="11" t="s">
        <v>470</v>
      </c>
      <c r="C99" s="13">
        <f>SUMIF(SIGAF!$B$2:$B$547,$A99,SIGAF!$F$2:$F$547)</f>
        <v>27506280</v>
      </c>
      <c r="D99" s="13">
        <f>SUMIF(SIGAF!$B$2:$B$547,$A99,SIGAF!$G$2:$G$547)</f>
        <v>27506280</v>
      </c>
      <c r="E99" s="13">
        <f>SUMIF(SIGAF!$B$2:$B$547,$A99,SIGAF!$H$2:$H$547)</f>
        <v>0</v>
      </c>
      <c r="F99" s="67">
        <f t="shared" si="22"/>
        <v>0</v>
      </c>
      <c r="G99" s="132">
        <f>SUMIF(SIGAF!$B$2:$B$547,$A99,SIGAF!$I$2:$I$547)</f>
        <v>472356</v>
      </c>
      <c r="H99" s="67">
        <f t="shared" si="23"/>
        <v>1.71726602070509E-2</v>
      </c>
      <c r="I99" s="13">
        <f>SUMIF(SIGAF!$B$2:$B$547,$A99,SIGAF!$J$2:$J$547)</f>
        <v>0</v>
      </c>
      <c r="J99" s="67">
        <f t="shared" si="23"/>
        <v>0</v>
      </c>
      <c r="K99" s="13">
        <f>SUMIF(SIGAF!$B$2:$B$547,$A99,SIGAF!$K$2:$K$547)</f>
        <v>21860900</v>
      </c>
      <c r="L99" s="142">
        <f t="shared" si="27"/>
        <v>0.79476032382423212</v>
      </c>
      <c r="M99" s="13">
        <f>SUMIF(SIGAF!$B$2:$B$547,$A99,SIGAF!$L$2:$L$547)</f>
        <v>15600900</v>
      </c>
      <c r="N99" s="67">
        <f t="shared" si="24"/>
        <v>0.56717593218712237</v>
      </c>
      <c r="O99" s="86">
        <f>SUMIF(SIGAF!$B$2:$B$547,$A99,SIGAF!$M$2:$M$547)</f>
        <v>5173024</v>
      </c>
      <c r="P99" s="67">
        <f t="shared" si="25"/>
        <v>0.18806701596871697</v>
      </c>
      <c r="Q99" s="13">
        <f>SUMIF(SIGAF!$B$2:$B$547,$A99,SIGAF!$N$2:$N$547)</f>
        <v>5173024</v>
      </c>
      <c r="R99" s="67">
        <f t="shared" si="26"/>
        <v>0.18806701596871697</v>
      </c>
    </row>
    <row r="100" spans="1:18" x14ac:dyDescent="0.25">
      <c r="A100" s="11" t="s">
        <v>178</v>
      </c>
      <c r="B100" s="11" t="s">
        <v>471</v>
      </c>
      <c r="C100" s="13">
        <f>SUMIF(SIGAF!$B$2:$B$547,$A100,SIGAF!$F$2:$F$547)</f>
        <v>9694350</v>
      </c>
      <c r="D100" s="13">
        <f>SUMIF(SIGAF!$B$2:$B$547,$A100,SIGAF!$G$2:$G$547)</f>
        <v>9694350</v>
      </c>
      <c r="E100" s="13">
        <f>SUMIF(SIGAF!$B$2:$B$547,$A100,SIGAF!$H$2:$H$547)</f>
        <v>0</v>
      </c>
      <c r="F100" s="67">
        <f t="shared" si="22"/>
        <v>0</v>
      </c>
      <c r="G100" s="132">
        <f>SUMIF(SIGAF!$B$2:$B$547,$A100,SIGAF!$I$2:$I$547)</f>
        <v>149760</v>
      </c>
      <c r="H100" s="67">
        <f t="shared" si="23"/>
        <v>1.5448173420600659E-2</v>
      </c>
      <c r="I100" s="13">
        <f>SUMIF(SIGAF!$B$2:$B$547,$A100,SIGAF!$J$2:$J$547)</f>
        <v>0</v>
      </c>
      <c r="J100" s="67">
        <f t="shared" si="23"/>
        <v>0</v>
      </c>
      <c r="K100" s="13">
        <f>SUMIF(SIGAF!$B$2:$B$547,$A100,SIGAF!$K$2:$K$547)</f>
        <v>1771211.2</v>
      </c>
      <c r="L100" s="142">
        <f t="shared" si="27"/>
        <v>0.18270551403652643</v>
      </c>
      <c r="M100" s="13">
        <f>SUMIF(SIGAF!$B$2:$B$547,$A100,SIGAF!$L$2:$L$547)</f>
        <v>1621451.2</v>
      </c>
      <c r="N100" s="67">
        <f t="shared" si="24"/>
        <v>0.16725734061592576</v>
      </c>
      <c r="O100" s="86">
        <f>SUMIF(SIGAF!$B$2:$B$547,$A100,SIGAF!$M$2:$M$547)</f>
        <v>7773378.7999999998</v>
      </c>
      <c r="P100" s="67">
        <f t="shared" si="25"/>
        <v>0.80184631254287286</v>
      </c>
      <c r="Q100" s="13">
        <f>SUMIF(SIGAF!$B$2:$B$547,$A100,SIGAF!$N$2:$N$547)</f>
        <v>7773378.7999999998</v>
      </c>
      <c r="R100" s="67">
        <f t="shared" si="26"/>
        <v>0.80184631254287286</v>
      </c>
    </row>
    <row r="101" spans="1:18" x14ac:dyDescent="0.25">
      <c r="A101" s="11" t="s">
        <v>180</v>
      </c>
      <c r="B101" s="11" t="s">
        <v>472</v>
      </c>
      <c r="C101" s="13">
        <f>SUMIF(SIGAF!$B$2:$B$547,$A101,SIGAF!$F$2:$F$547)</f>
        <v>1035000</v>
      </c>
      <c r="D101" s="13">
        <f>SUMIF(SIGAF!$B$2:$B$547,$A101,SIGAF!$G$2:$G$547)</f>
        <v>1035000</v>
      </c>
      <c r="E101" s="13">
        <f>SUMIF(SIGAF!$B$2:$B$547,$A101,SIGAF!$H$2:$H$547)</f>
        <v>0</v>
      </c>
      <c r="F101" s="67">
        <f t="shared" si="22"/>
        <v>0</v>
      </c>
      <c r="G101" s="132">
        <f>SUMIF(SIGAF!$B$2:$B$547,$A101,SIGAF!$I$2:$I$547)</f>
        <v>128284.97</v>
      </c>
      <c r="H101" s="67">
        <f t="shared" si="23"/>
        <v>0.1239468309178744</v>
      </c>
      <c r="I101" s="13">
        <f>SUMIF(SIGAF!$B$2:$B$547,$A101,SIGAF!$J$2:$J$547)</f>
        <v>0</v>
      </c>
      <c r="J101" s="67">
        <f t="shared" si="23"/>
        <v>0</v>
      </c>
      <c r="K101" s="13">
        <f>SUMIF(SIGAF!$B$2:$B$547,$A101,SIGAF!$K$2:$K$547)</f>
        <v>582676.03</v>
      </c>
      <c r="L101" s="142">
        <f t="shared" si="27"/>
        <v>0.5629720096618358</v>
      </c>
      <c r="M101" s="13">
        <f>SUMIF(SIGAF!$B$2:$B$547,$A101,SIGAF!$L$2:$L$547)</f>
        <v>582676.03</v>
      </c>
      <c r="N101" s="67">
        <f t="shared" si="24"/>
        <v>0.5629720096618358</v>
      </c>
      <c r="O101" s="86">
        <f>SUMIF(SIGAF!$B$2:$B$547,$A101,SIGAF!$M$2:$M$547)</f>
        <v>324039</v>
      </c>
      <c r="P101" s="67">
        <f t="shared" si="25"/>
        <v>0.31308115942028986</v>
      </c>
      <c r="Q101" s="13">
        <f>SUMIF(SIGAF!$B$2:$B$547,$A101,SIGAF!$N$2:$N$547)</f>
        <v>324039</v>
      </c>
      <c r="R101" s="67">
        <f t="shared" si="26"/>
        <v>0.31308115942028986</v>
      </c>
    </row>
    <row r="102" spans="1:18" x14ac:dyDescent="0.25">
      <c r="A102" s="11" t="s">
        <v>182</v>
      </c>
      <c r="B102" s="11" t="s">
        <v>473</v>
      </c>
      <c r="C102" s="13">
        <f>SUMIF(SIGAF!$B$2:$B$547,$A102,SIGAF!$F$2:$F$547)</f>
        <v>879490276</v>
      </c>
      <c r="D102" s="13">
        <f>SUMIF(SIGAF!$B$2:$B$547,$A102,SIGAF!$G$2:$G$547)</f>
        <v>879490276</v>
      </c>
      <c r="E102" s="13">
        <f>SUMIF(SIGAF!$B$2:$B$547,$A102,SIGAF!$H$2:$H$547)</f>
        <v>0</v>
      </c>
      <c r="F102" s="67">
        <f t="shared" si="22"/>
        <v>0</v>
      </c>
      <c r="G102" s="13">
        <f>SUMIF(SIGAF!$B$2:$B$547,$A102,SIGAF!$I$2:$I$547)</f>
        <v>110963323.78</v>
      </c>
      <c r="H102" s="67">
        <f t="shared" si="23"/>
        <v>0.12616776649842118</v>
      </c>
      <c r="I102" s="13">
        <f>SUMIF(SIGAF!$B$2:$B$547,$A102,SIGAF!$J$2:$J$547)</f>
        <v>0</v>
      </c>
      <c r="J102" s="67">
        <f t="shared" si="23"/>
        <v>0</v>
      </c>
      <c r="K102" s="13">
        <f>SUMIF(SIGAF!$B$2:$B$547,$A102,SIGAF!$K$2:$K$547)</f>
        <v>405765468.34999996</v>
      </c>
      <c r="L102" s="142">
        <f t="shared" si="27"/>
        <v>0.46136436004211145</v>
      </c>
      <c r="M102" s="13">
        <f>SUMIF(SIGAF!$B$2:$B$547,$A102,SIGAF!$L$2:$L$547)</f>
        <v>374210260.81</v>
      </c>
      <c r="N102" s="67">
        <f t="shared" si="24"/>
        <v>0.42548538741319752</v>
      </c>
      <c r="O102" s="86">
        <f>SUMIF(SIGAF!$B$2:$B$547,$A102,SIGAF!$M$2:$M$547)</f>
        <v>362761483.87</v>
      </c>
      <c r="P102" s="67">
        <f t="shared" si="25"/>
        <v>0.41246787345946734</v>
      </c>
      <c r="Q102" s="13">
        <f>SUMIF(SIGAF!$B$2:$B$547,$A102,SIGAF!$N$2:$N$547)</f>
        <v>362761483.87</v>
      </c>
      <c r="R102" s="67">
        <f t="shared" si="26"/>
        <v>0.41246787345946734</v>
      </c>
    </row>
    <row r="103" spans="1:18" x14ac:dyDescent="0.25">
      <c r="A103" s="11" t="s">
        <v>184</v>
      </c>
      <c r="B103" s="11" t="s">
        <v>474</v>
      </c>
      <c r="C103" s="13">
        <f>SUMIF(SIGAF!$B$2:$B$547,$A103,SIGAF!$F$2:$F$547)</f>
        <v>159211555</v>
      </c>
      <c r="D103" s="13">
        <f>SUMIF(SIGAF!$B$2:$B$547,$A103,SIGAF!$G$2:$G$547)</f>
        <v>159211555</v>
      </c>
      <c r="E103" s="13">
        <f>SUMIF(SIGAF!$B$2:$B$547,$A103,SIGAF!$H$2:$H$547)</f>
        <v>0</v>
      </c>
      <c r="F103" s="67">
        <f t="shared" si="22"/>
        <v>0</v>
      </c>
      <c r="G103" s="13">
        <f>SUMIF(SIGAF!$B$2:$B$547,$A103,SIGAF!$I$2:$I$547)</f>
        <v>0</v>
      </c>
      <c r="H103" s="67">
        <f t="shared" si="23"/>
        <v>0</v>
      </c>
      <c r="I103" s="13">
        <f>SUMIF(SIGAF!$B$2:$B$547,$A103,SIGAF!$J$2:$J$547)</f>
        <v>0</v>
      </c>
      <c r="J103" s="67">
        <f t="shared" si="23"/>
        <v>0</v>
      </c>
      <c r="K103" s="13">
        <f>SUMIF(SIGAF!$B$2:$B$547,$A103,SIGAF!$K$2:$K$547)</f>
        <v>68910881.25</v>
      </c>
      <c r="L103" s="142">
        <f t="shared" si="27"/>
        <v>0.43282587906386566</v>
      </c>
      <c r="M103" s="13">
        <f>SUMIF(SIGAF!$B$2:$B$547,$A103,SIGAF!$L$2:$L$547)</f>
        <v>66484298.019999996</v>
      </c>
      <c r="N103" s="67">
        <f t="shared" si="24"/>
        <v>0.4175846283267568</v>
      </c>
      <c r="O103" s="86">
        <f>SUMIF(SIGAF!$B$2:$B$547,$A103,SIGAF!$M$2:$M$547)</f>
        <v>90300673.75</v>
      </c>
      <c r="P103" s="67">
        <f t="shared" si="25"/>
        <v>0.56717412093613429</v>
      </c>
      <c r="Q103" s="13">
        <f>SUMIF(SIGAF!$B$2:$B$547,$A103,SIGAF!$N$2:$N$547)</f>
        <v>90300673.75</v>
      </c>
      <c r="R103" s="67">
        <f t="shared" si="26"/>
        <v>0.56717412093613429</v>
      </c>
    </row>
    <row r="104" spans="1:18" x14ac:dyDescent="0.25">
      <c r="A104" s="11" t="s">
        <v>342</v>
      </c>
      <c r="B104" s="11" t="s">
        <v>475</v>
      </c>
      <c r="C104" s="13">
        <f>SUMIF(SIGAF!$B$2:$B$547,$A104,SIGAF!$F$2:$F$547)</f>
        <v>334124899</v>
      </c>
      <c r="D104" s="13">
        <f>SUMIF(SIGAF!$B$2:$B$547,$A104,SIGAF!$G$2:$G$547)</f>
        <v>334124899</v>
      </c>
      <c r="E104" s="13">
        <f>SUMIF(SIGAF!$B$2:$B$547,$A104,SIGAF!$H$2:$H$547)</f>
        <v>0</v>
      </c>
      <c r="F104" s="67">
        <f t="shared" si="22"/>
        <v>0</v>
      </c>
      <c r="G104" s="13">
        <f>SUMIF(SIGAF!$B$2:$B$547,$A104,SIGAF!$I$2:$I$547)</f>
        <v>15725171.310000001</v>
      </c>
      <c r="H104" s="67">
        <f t="shared" si="23"/>
        <v>4.7063751779839673E-2</v>
      </c>
      <c r="I104" s="13">
        <f>SUMIF(SIGAF!$B$2:$B$547,$A104,SIGAF!$J$2:$J$547)</f>
        <v>0</v>
      </c>
      <c r="J104" s="67">
        <f t="shared" si="23"/>
        <v>0</v>
      </c>
      <c r="K104" s="13">
        <f>SUMIF(SIGAF!$B$2:$B$547,$A104,SIGAF!$K$2:$K$547)</f>
        <v>139758428.36000001</v>
      </c>
      <c r="L104" s="142">
        <f t="shared" si="27"/>
        <v>0.41828199208823408</v>
      </c>
      <c r="M104" s="13">
        <f>SUMIF(SIGAF!$B$2:$B$547,$A104,SIGAF!$L$2:$L$547)</f>
        <v>129052579.22</v>
      </c>
      <c r="N104" s="67">
        <f t="shared" si="24"/>
        <v>0.38624053342399961</v>
      </c>
      <c r="O104" s="86">
        <f>SUMIF(SIGAF!$B$2:$B$547,$A104,SIGAF!$M$2:$M$547)</f>
        <v>178641299.33000001</v>
      </c>
      <c r="P104" s="67">
        <f t="shared" si="25"/>
        <v>0.5346542561319263</v>
      </c>
      <c r="Q104" s="13">
        <f>SUMIF(SIGAF!$B$2:$B$547,$A104,SIGAF!$N$2:$N$547)</f>
        <v>178641299.33000001</v>
      </c>
      <c r="R104" s="67">
        <f t="shared" si="26"/>
        <v>0.5346542561319263</v>
      </c>
    </row>
    <row r="105" spans="1:18" x14ac:dyDescent="0.25">
      <c r="A105" s="11" t="s">
        <v>186</v>
      </c>
      <c r="B105" s="11" t="s">
        <v>476</v>
      </c>
      <c r="C105" s="13">
        <f>SUMIF(SIGAF!$B$2:$B$547,$A105,SIGAF!$F$2:$F$547)</f>
        <v>116796000</v>
      </c>
      <c r="D105" s="13">
        <f>SUMIF(SIGAF!$B$2:$B$547,$A105,SIGAF!$G$2:$G$547)</f>
        <v>116796000</v>
      </c>
      <c r="E105" s="13">
        <f>SUMIF(SIGAF!$B$2:$B$547,$A105,SIGAF!$H$2:$H$547)</f>
        <v>0</v>
      </c>
      <c r="F105" s="67">
        <f t="shared" si="22"/>
        <v>0</v>
      </c>
      <c r="G105" s="13">
        <f>SUMIF(SIGAF!$B$2:$B$547,$A105,SIGAF!$I$2:$I$547)</f>
        <v>29871354.82</v>
      </c>
      <c r="H105" s="67">
        <f t="shared" si="23"/>
        <v>0.25575665964587829</v>
      </c>
      <c r="I105" s="13">
        <f>SUMIF(SIGAF!$B$2:$B$547,$A105,SIGAF!$J$2:$J$547)</f>
        <v>0</v>
      </c>
      <c r="J105" s="67">
        <f t="shared" si="23"/>
        <v>0</v>
      </c>
      <c r="K105" s="13">
        <f>SUMIF(SIGAF!$B$2:$B$547,$A105,SIGAF!$K$2:$K$547)</f>
        <v>65440501.209999993</v>
      </c>
      <c r="L105" s="142">
        <f t="shared" si="27"/>
        <v>0.5602974520531524</v>
      </c>
      <c r="M105" s="13">
        <f>SUMIF(SIGAF!$B$2:$B$547,$A105,SIGAF!$L$2:$L$547)</f>
        <v>57489363.860000007</v>
      </c>
      <c r="N105" s="67">
        <f t="shared" si="24"/>
        <v>0.49222031456556736</v>
      </c>
      <c r="O105" s="86">
        <f>SUMIF(SIGAF!$B$2:$B$547,$A105,SIGAF!$M$2:$M$547)</f>
        <v>21484143.969999999</v>
      </c>
      <c r="P105" s="67">
        <f t="shared" si="25"/>
        <v>0.1839458883009692</v>
      </c>
      <c r="Q105" s="13">
        <f>SUMIF(SIGAF!$B$2:$B$547,$A105,SIGAF!$N$2:$N$547)</f>
        <v>21484143.969999999</v>
      </c>
      <c r="R105" s="67">
        <f t="shared" si="26"/>
        <v>0.1839458883009692</v>
      </c>
    </row>
    <row r="106" spans="1:18" x14ac:dyDescent="0.25">
      <c r="A106" s="11" t="s">
        <v>188</v>
      </c>
      <c r="B106" s="11" t="s">
        <v>477</v>
      </c>
      <c r="C106" s="13">
        <f>SUMIF(SIGAF!$B$2:$B$547,$A106,SIGAF!$F$2:$F$547)</f>
        <v>9050000</v>
      </c>
      <c r="D106" s="13">
        <f>SUMIF(SIGAF!$B$2:$B$547,$A106,SIGAF!$G$2:$G$547)</f>
        <v>9050000</v>
      </c>
      <c r="E106" s="13">
        <f>SUMIF(SIGAF!$B$2:$B$547,$A106,SIGAF!$H$2:$H$547)</f>
        <v>0</v>
      </c>
      <c r="F106" s="67">
        <f t="shared" si="22"/>
        <v>0</v>
      </c>
      <c r="G106" s="13">
        <f>SUMIF(SIGAF!$B$2:$B$547,$A106,SIGAF!$I$2:$I$547)</f>
        <v>12500</v>
      </c>
      <c r="H106" s="67">
        <f t="shared" si="23"/>
        <v>1.3812154696132596E-3</v>
      </c>
      <c r="I106" s="13">
        <f>SUMIF(SIGAF!$B$2:$B$547,$A106,SIGAF!$J$2:$J$547)</f>
        <v>0</v>
      </c>
      <c r="J106" s="67">
        <f t="shared" si="23"/>
        <v>0</v>
      </c>
      <c r="K106" s="13">
        <f>SUMIF(SIGAF!$B$2:$B$547,$A106,SIGAF!$K$2:$K$547)</f>
        <v>4806500</v>
      </c>
      <c r="L106" s="142">
        <f t="shared" si="27"/>
        <v>0.53110497237569065</v>
      </c>
      <c r="M106" s="13">
        <f>SUMIF(SIGAF!$B$2:$B$547,$A106,SIGAF!$L$2:$L$547)</f>
        <v>4181500</v>
      </c>
      <c r="N106" s="67">
        <f t="shared" si="24"/>
        <v>0.46204419889502762</v>
      </c>
      <c r="O106" s="86">
        <f>SUMIF(SIGAF!$B$2:$B$547,$A106,SIGAF!$M$2:$M$547)</f>
        <v>4231000</v>
      </c>
      <c r="P106" s="67">
        <f t="shared" si="25"/>
        <v>0.46751381215469612</v>
      </c>
      <c r="Q106" s="13">
        <f>SUMIF(SIGAF!$B$2:$B$547,$A106,SIGAF!$N$2:$N$547)</f>
        <v>4231000</v>
      </c>
      <c r="R106" s="67">
        <f t="shared" si="26"/>
        <v>0.46751381215469612</v>
      </c>
    </row>
    <row r="107" spans="1:18" x14ac:dyDescent="0.25">
      <c r="A107" s="11" t="s">
        <v>190</v>
      </c>
      <c r="B107" s="11" t="s">
        <v>478</v>
      </c>
      <c r="C107" s="13">
        <f>SUMIF(SIGAF!$B$2:$B$547,$A107,SIGAF!$F$2:$F$547)</f>
        <v>37966000</v>
      </c>
      <c r="D107" s="13">
        <f>SUMIF(SIGAF!$B$2:$B$547,$A107,SIGAF!$G$2:$G$547)</f>
        <v>37966000</v>
      </c>
      <c r="E107" s="13">
        <f>SUMIF(SIGAF!$B$2:$B$547,$A107,SIGAF!$H$2:$H$547)</f>
        <v>0</v>
      </c>
      <c r="F107" s="67">
        <f t="shared" si="22"/>
        <v>0</v>
      </c>
      <c r="G107" s="13">
        <f>SUMIF(SIGAF!$B$2:$B$547,$A107,SIGAF!$I$2:$I$547)</f>
        <v>758000.6</v>
      </c>
      <c r="H107" s="67">
        <f t="shared" si="23"/>
        <v>1.9965247853342465E-2</v>
      </c>
      <c r="I107" s="13">
        <f>SUMIF(SIGAF!$B$2:$B$547,$A107,SIGAF!$J$2:$J$547)</f>
        <v>0</v>
      </c>
      <c r="J107" s="67">
        <f t="shared" si="23"/>
        <v>0</v>
      </c>
      <c r="K107" s="13">
        <f>SUMIF(SIGAF!$B$2:$B$547,$A107,SIGAF!$K$2:$K$547)</f>
        <v>20441830.57</v>
      </c>
      <c r="L107" s="142">
        <f t="shared" si="27"/>
        <v>0.53842465811515572</v>
      </c>
      <c r="M107" s="13">
        <f>SUMIF(SIGAF!$B$2:$B$547,$A107,SIGAF!$L$2:$L$547)</f>
        <v>19446180.469999999</v>
      </c>
      <c r="N107" s="67">
        <f t="shared" si="24"/>
        <v>0.5121998754148448</v>
      </c>
      <c r="O107" s="86">
        <f>SUMIF(SIGAF!$B$2:$B$547,$A107,SIGAF!$M$2:$M$547)</f>
        <v>16766168.829999998</v>
      </c>
      <c r="P107" s="67">
        <f t="shared" si="25"/>
        <v>0.44161009403150181</v>
      </c>
      <c r="Q107" s="13">
        <f>SUMIF(SIGAF!$B$2:$B$547,$A107,SIGAF!$N$2:$N$547)</f>
        <v>16766168.829999998</v>
      </c>
      <c r="R107" s="67">
        <f t="shared" si="26"/>
        <v>0.44161009403150181</v>
      </c>
    </row>
    <row r="108" spans="1:18" x14ac:dyDescent="0.25">
      <c r="A108" s="11" t="s">
        <v>192</v>
      </c>
      <c r="B108" s="11" t="s">
        <v>479</v>
      </c>
      <c r="C108" s="13">
        <f>SUMIF(SIGAF!$B$2:$B$547,$A108,SIGAF!$F$2:$F$547)</f>
        <v>54905957</v>
      </c>
      <c r="D108" s="13">
        <f>SUMIF(SIGAF!$B$2:$B$547,$A108,SIGAF!$G$2:$G$547)</f>
        <v>54905957</v>
      </c>
      <c r="E108" s="13">
        <f>SUMIF(SIGAF!$B$2:$B$547,$A108,SIGAF!$H$2:$H$547)</f>
        <v>0</v>
      </c>
      <c r="F108" s="67">
        <f t="shared" si="22"/>
        <v>0</v>
      </c>
      <c r="G108" s="13">
        <f>SUMIF(SIGAF!$B$2:$B$547,$A108,SIGAF!$I$2:$I$547)</f>
        <v>10607112.43</v>
      </c>
      <c r="H108" s="67">
        <f t="shared" si="23"/>
        <v>0.19318691467302901</v>
      </c>
      <c r="I108" s="13">
        <f>SUMIF(SIGAF!$B$2:$B$547,$A108,SIGAF!$J$2:$J$547)</f>
        <v>0</v>
      </c>
      <c r="J108" s="67">
        <f t="shared" si="23"/>
        <v>0</v>
      </c>
      <c r="K108" s="13">
        <f>SUMIF(SIGAF!$B$2:$B$547,$A108,SIGAF!$K$2:$K$547)</f>
        <v>32623323.670000002</v>
      </c>
      <c r="L108" s="142">
        <f t="shared" si="27"/>
        <v>0.59416728989898127</v>
      </c>
      <c r="M108" s="13">
        <f>SUMIF(SIGAF!$B$2:$B$547,$A108,SIGAF!$L$2:$L$547)</f>
        <v>27665370.440000001</v>
      </c>
      <c r="N108" s="67">
        <f t="shared" si="24"/>
        <v>0.50386828591294752</v>
      </c>
      <c r="O108" s="86">
        <f>SUMIF(SIGAF!$B$2:$B$547,$A108,SIGAF!$M$2:$M$547)</f>
        <v>11675520.899999999</v>
      </c>
      <c r="P108" s="67">
        <f t="shared" si="25"/>
        <v>0.2126457954279897</v>
      </c>
      <c r="Q108" s="13">
        <f>SUMIF(SIGAF!$B$2:$B$547,$A108,SIGAF!$N$2:$N$547)</f>
        <v>11675520.899999999</v>
      </c>
      <c r="R108" s="67">
        <f t="shared" si="26"/>
        <v>0.2126457954279897</v>
      </c>
    </row>
    <row r="109" spans="1:18" x14ac:dyDescent="0.25">
      <c r="A109" s="11" t="s">
        <v>194</v>
      </c>
      <c r="B109" s="11" t="s">
        <v>480</v>
      </c>
      <c r="C109" s="13">
        <f>SUMIF(SIGAF!$B$2:$B$547,$A109,SIGAF!$F$2:$F$547)</f>
        <v>167435865</v>
      </c>
      <c r="D109" s="13">
        <f>SUMIF(SIGAF!$B$2:$B$547,$A109,SIGAF!$G$2:$G$547)</f>
        <v>167435865</v>
      </c>
      <c r="E109" s="13">
        <f>SUMIF(SIGAF!$B$2:$B$547,$A109,SIGAF!$H$2:$H$547)</f>
        <v>0</v>
      </c>
      <c r="F109" s="67">
        <f t="shared" si="22"/>
        <v>0</v>
      </c>
      <c r="G109" s="13">
        <f>SUMIF(SIGAF!$B$2:$B$547,$A109,SIGAF!$I$2:$I$547)</f>
        <v>53989184.619999997</v>
      </c>
      <c r="H109" s="67">
        <f t="shared" si="23"/>
        <v>0.32244695376346039</v>
      </c>
      <c r="I109" s="13">
        <f>SUMIF(SIGAF!$B$2:$B$547,$A109,SIGAF!$J$2:$J$547)</f>
        <v>0</v>
      </c>
      <c r="J109" s="67">
        <f t="shared" si="23"/>
        <v>0</v>
      </c>
      <c r="K109" s="13">
        <f>SUMIF(SIGAF!$B$2:$B$547,$A109,SIGAF!$K$2:$K$547)</f>
        <v>73784003.290000007</v>
      </c>
      <c r="L109" s="142">
        <f t="shared" si="27"/>
        <v>0.44067024284193834</v>
      </c>
      <c r="M109" s="13">
        <f>SUMIF(SIGAF!$B$2:$B$547,$A109,SIGAF!$L$2:$L$547)</f>
        <v>69890968.799999997</v>
      </c>
      <c r="N109" s="67">
        <f t="shared" si="24"/>
        <v>0.41741934322135821</v>
      </c>
      <c r="O109" s="86">
        <f>SUMIF(SIGAF!$B$2:$B$547,$A109,SIGAF!$M$2:$M$547)</f>
        <v>39662677.090000004</v>
      </c>
      <c r="P109" s="67">
        <f t="shared" si="25"/>
        <v>0.2368828033946013</v>
      </c>
      <c r="Q109" s="13">
        <f>SUMIF(SIGAF!$B$2:$B$547,$A109,SIGAF!$N$2:$N$547)</f>
        <v>39662677.090000004</v>
      </c>
      <c r="R109" s="67">
        <f t="shared" si="26"/>
        <v>0.2368828033946013</v>
      </c>
    </row>
    <row r="110" spans="1:18" x14ac:dyDescent="0.25">
      <c r="A110" s="11" t="s">
        <v>196</v>
      </c>
      <c r="B110" s="11" t="s">
        <v>197</v>
      </c>
      <c r="C110" s="13">
        <f>SUMIF(SIGAF!$B$2:$B$547,$A110,SIGAF!$F$2:$F$547)</f>
        <v>21312000</v>
      </c>
      <c r="D110" s="13">
        <f>SUMIF(SIGAF!$B$2:$B$547,$A110,SIGAF!$G$2:$G$547)</f>
        <v>21312000</v>
      </c>
      <c r="E110" s="13">
        <f>SUMIF(SIGAF!$B$2:$B$547,$A110,SIGAF!$H$2:$H$547)</f>
        <v>0</v>
      </c>
      <c r="F110" s="67">
        <f t="shared" si="22"/>
        <v>0</v>
      </c>
      <c r="G110" s="13">
        <f>SUMIF(SIGAF!$B$2:$B$547,$A110,SIGAF!$I$2:$I$547)</f>
        <v>5180860</v>
      </c>
      <c r="H110" s="67">
        <f t="shared" si="23"/>
        <v>0.24309590840840842</v>
      </c>
      <c r="I110" s="13">
        <f>SUMIF(SIGAF!$B$2:$B$547,$A110,SIGAF!$J$2:$J$547)</f>
        <v>0</v>
      </c>
      <c r="J110" s="67">
        <f t="shared" si="23"/>
        <v>0</v>
      </c>
      <c r="K110" s="13">
        <f>SUMIF(SIGAF!$B$2:$B$547,$A110,SIGAF!$K$2:$K$547)</f>
        <v>10734296</v>
      </c>
      <c r="L110" s="142">
        <f t="shared" si="27"/>
        <v>0.50367379879879881</v>
      </c>
      <c r="M110" s="13">
        <f>SUMIF(SIGAF!$B$2:$B$547,$A110,SIGAF!$L$2:$L$547)</f>
        <v>665685</v>
      </c>
      <c r="N110" s="67">
        <f t="shared" si="24"/>
        <v>3.1235219594594594E-2</v>
      </c>
      <c r="O110" s="86">
        <f>SUMIF(SIGAF!$B$2:$B$547,$A110,SIGAF!$M$2:$M$547)</f>
        <v>5396844</v>
      </c>
      <c r="P110" s="67">
        <f t="shared" si="25"/>
        <v>0.2532302927927928</v>
      </c>
      <c r="Q110" s="13">
        <f>SUMIF(SIGAF!$B$2:$B$547,$A110,SIGAF!$N$2:$N$547)</f>
        <v>5396844</v>
      </c>
      <c r="R110" s="67">
        <f t="shared" si="26"/>
        <v>0.2532302927927928</v>
      </c>
    </row>
    <row r="111" spans="1:18" x14ac:dyDescent="0.25">
      <c r="A111" s="11" t="s">
        <v>198</v>
      </c>
      <c r="B111" s="11" t="s">
        <v>481</v>
      </c>
      <c r="C111" s="13">
        <f>SUMIF(SIGAF!$B$2:$B$547,$A111,SIGAF!$F$2:$F$547)</f>
        <v>21312000</v>
      </c>
      <c r="D111" s="13">
        <f>SUMIF(SIGAF!$B$2:$B$547,$A111,SIGAF!$G$2:$G$547)</f>
        <v>21312000</v>
      </c>
      <c r="E111" s="13">
        <f>SUMIF(SIGAF!$B$2:$B$547,$A111,SIGAF!$H$2:$H$547)</f>
        <v>0</v>
      </c>
      <c r="F111" s="67">
        <f t="shared" si="22"/>
        <v>0</v>
      </c>
      <c r="G111" s="13">
        <f>SUMIF(SIGAF!$B$2:$B$547,$A111,SIGAF!$I$2:$I$547)</f>
        <v>5180860</v>
      </c>
      <c r="H111" s="67">
        <f t="shared" si="23"/>
        <v>0.24309590840840842</v>
      </c>
      <c r="I111" s="13">
        <f>SUMIF(SIGAF!$B$2:$B$547,$A111,SIGAF!$J$2:$J$547)</f>
        <v>0</v>
      </c>
      <c r="J111" s="67">
        <f t="shared" si="23"/>
        <v>0</v>
      </c>
      <c r="K111" s="13">
        <f>SUMIF(SIGAF!$B$2:$B$547,$A111,SIGAF!$K$2:$K$547)</f>
        <v>10734296</v>
      </c>
      <c r="L111" s="142">
        <f t="shared" si="27"/>
        <v>0.50367379879879881</v>
      </c>
      <c r="M111" s="13">
        <f>SUMIF(SIGAF!$B$2:$B$547,$A111,SIGAF!$L$2:$L$547)</f>
        <v>665685</v>
      </c>
      <c r="N111" s="67">
        <f t="shared" si="24"/>
        <v>3.1235219594594594E-2</v>
      </c>
      <c r="O111" s="86">
        <f>SUMIF(SIGAF!$B$2:$B$547,$A111,SIGAF!$M$2:$M$547)</f>
        <v>5396844</v>
      </c>
      <c r="P111" s="67">
        <f t="shared" si="25"/>
        <v>0.2532302927927928</v>
      </c>
      <c r="Q111" s="13">
        <f>SUMIF(SIGAF!$B$2:$B$547,$A111,SIGAF!$N$2:$N$547)</f>
        <v>5396844</v>
      </c>
      <c r="R111" s="67">
        <f t="shared" si="26"/>
        <v>0.2532302927927928</v>
      </c>
    </row>
    <row r="112" spans="1:18" x14ac:dyDescent="0.25">
      <c r="A112" s="11" t="s">
        <v>200</v>
      </c>
      <c r="B112" s="11" t="s">
        <v>201</v>
      </c>
      <c r="C112" s="13">
        <f>SUMIF(SIGAF!$B$2:$B$547,$A112,SIGAF!$F$2:$F$547)</f>
        <v>56219000</v>
      </c>
      <c r="D112" s="13">
        <f>SUMIF(SIGAF!$B$2:$B$547,$A112,SIGAF!$G$2:$G$547)</f>
        <v>56219000</v>
      </c>
      <c r="E112" s="13">
        <f>SUMIF(SIGAF!$B$2:$B$547,$A112,SIGAF!$H$2:$H$547)</f>
        <v>0</v>
      </c>
      <c r="F112" s="67">
        <f t="shared" si="22"/>
        <v>0</v>
      </c>
      <c r="G112" s="13">
        <f>SUMIF(SIGAF!$B$2:$B$547,$A112,SIGAF!$I$2:$I$547)</f>
        <v>9541217.3200000003</v>
      </c>
      <c r="H112" s="67">
        <f t="shared" si="23"/>
        <v>0.16971517316209822</v>
      </c>
      <c r="I112" s="13">
        <f>SUMIF(SIGAF!$B$2:$B$547,$A112,SIGAF!$J$2:$J$547)</f>
        <v>0</v>
      </c>
      <c r="J112" s="67">
        <f t="shared" si="23"/>
        <v>0</v>
      </c>
      <c r="K112" s="13">
        <f>SUMIF(SIGAF!$B$2:$B$547,$A112,SIGAF!$K$2:$K$547)</f>
        <v>12654516.869999999</v>
      </c>
      <c r="L112" s="142">
        <f t="shared" si="27"/>
        <v>0.22509324018570231</v>
      </c>
      <c r="M112" s="13">
        <f>SUMIF(SIGAF!$B$2:$B$547,$A112,SIGAF!$L$2:$L$547)</f>
        <v>12204516.869999999</v>
      </c>
      <c r="N112" s="67">
        <f t="shared" si="24"/>
        <v>0.21708882886568595</v>
      </c>
      <c r="O112" s="86">
        <f>SUMIF(SIGAF!$B$2:$B$547,$A112,SIGAF!$M$2:$M$547)</f>
        <v>34023265.810000002</v>
      </c>
      <c r="P112" s="67">
        <f t="shared" si="25"/>
        <v>0.60519158665219952</v>
      </c>
      <c r="Q112" s="13">
        <f>SUMIF(SIGAF!$B$2:$B$547,$A112,SIGAF!$N$2:$N$547)</f>
        <v>34023265.810000002</v>
      </c>
      <c r="R112" s="67">
        <f t="shared" si="26"/>
        <v>0.60519158665219952</v>
      </c>
    </row>
    <row r="113" spans="1:19" x14ac:dyDescent="0.25">
      <c r="A113" s="11" t="s">
        <v>373</v>
      </c>
      <c r="B113" s="11" t="s">
        <v>482</v>
      </c>
      <c r="C113" s="13">
        <f>SUMIF(SIGAF!$B$2:$B$547,$A113,SIGAF!$F$2:$F$547)</f>
        <v>10969000</v>
      </c>
      <c r="D113" s="13">
        <f>SUMIF(SIGAF!$B$2:$B$547,$A113,SIGAF!$G$2:$G$547)</f>
        <v>10969000</v>
      </c>
      <c r="E113" s="13">
        <f>SUMIF(SIGAF!$B$2:$B$547,$A113,SIGAF!$H$2:$H$547)</f>
        <v>0</v>
      </c>
      <c r="F113" s="67">
        <f t="shared" si="22"/>
        <v>0</v>
      </c>
      <c r="G113" s="13">
        <f>SUMIF(SIGAF!$B$2:$B$547,$A113,SIGAF!$I$2:$I$547)</f>
        <v>268516</v>
      </c>
      <c r="H113" s="67">
        <f t="shared" si="23"/>
        <v>2.4479533230011851E-2</v>
      </c>
      <c r="I113" s="13">
        <f>SUMIF(SIGAF!$B$2:$B$547,$A113,SIGAF!$J$2:$J$547)</f>
        <v>0</v>
      </c>
      <c r="J113" s="67">
        <f t="shared" si="23"/>
        <v>0</v>
      </c>
      <c r="K113" s="13">
        <f>SUMIF(SIGAF!$B$2:$B$547,$A113,SIGAF!$K$2:$K$547)</f>
        <v>461638.85</v>
      </c>
      <c r="L113" s="142">
        <f t="shared" si="27"/>
        <v>4.2085773543622938E-2</v>
      </c>
      <c r="M113" s="13">
        <f>SUMIF(SIGAF!$B$2:$B$547,$A113,SIGAF!$L$2:$L$547)</f>
        <v>461638.85</v>
      </c>
      <c r="N113" s="67">
        <f t="shared" si="24"/>
        <v>4.2085773543622938E-2</v>
      </c>
      <c r="O113" s="86">
        <f>SUMIF(SIGAF!$B$2:$B$547,$A113,SIGAF!$M$2:$M$547)</f>
        <v>10238845.15</v>
      </c>
      <c r="P113" s="67">
        <f t="shared" si="25"/>
        <v>0.9334346932263653</v>
      </c>
      <c r="Q113" s="13">
        <f>SUMIF(SIGAF!$B$2:$B$547,$A113,SIGAF!$N$2:$N$547)</f>
        <v>10238845.15</v>
      </c>
      <c r="R113" s="67">
        <f t="shared" si="26"/>
        <v>0.9334346932263653</v>
      </c>
    </row>
    <row r="114" spans="1:19" x14ac:dyDescent="0.25">
      <c r="A114" s="11" t="s">
        <v>344</v>
      </c>
      <c r="B114" s="11" t="s">
        <v>483</v>
      </c>
      <c r="C114" s="13">
        <f>SUMIF(SIGAF!$B$2:$B$547,$A114,SIGAF!$F$2:$F$547)</f>
        <v>10650000</v>
      </c>
      <c r="D114" s="13">
        <f>SUMIF(SIGAF!$B$2:$B$547,$A114,SIGAF!$G$2:$G$547)</f>
        <v>10650000</v>
      </c>
      <c r="E114" s="13">
        <f>SUMIF(SIGAF!$B$2:$B$547,$A114,SIGAF!$H$2:$H$547)</f>
        <v>0</v>
      </c>
      <c r="F114" s="67">
        <f t="shared" si="22"/>
        <v>0</v>
      </c>
      <c r="G114" s="13">
        <f>SUMIF(SIGAF!$B$2:$B$547,$A114,SIGAF!$I$2:$I$547)</f>
        <v>460431.32</v>
      </c>
      <c r="H114" s="67">
        <f t="shared" si="23"/>
        <v>4.3232987793427234E-2</v>
      </c>
      <c r="I114" s="13">
        <f>SUMIF(SIGAF!$B$2:$B$547,$A114,SIGAF!$J$2:$J$547)</f>
        <v>0</v>
      </c>
      <c r="J114" s="67">
        <f t="shared" si="23"/>
        <v>0</v>
      </c>
      <c r="K114" s="13">
        <f>SUMIF(SIGAF!$B$2:$B$547,$A114,SIGAF!$K$2:$K$547)</f>
        <v>2751979.02</v>
      </c>
      <c r="L114" s="142">
        <f t="shared" si="27"/>
        <v>0.25840178591549295</v>
      </c>
      <c r="M114" s="13">
        <f>SUMIF(SIGAF!$B$2:$B$547,$A114,SIGAF!$L$2:$L$547)</f>
        <v>2751979.02</v>
      </c>
      <c r="N114" s="67">
        <f t="shared" si="24"/>
        <v>0.25840178591549295</v>
      </c>
      <c r="O114" s="86">
        <f>SUMIF(SIGAF!$B$2:$B$547,$A114,SIGAF!$M$2:$M$547)</f>
        <v>7437589.6600000001</v>
      </c>
      <c r="P114" s="67">
        <f t="shared" si="25"/>
        <v>0.69836522629107978</v>
      </c>
      <c r="Q114" s="13">
        <f>SUMIF(SIGAF!$B$2:$B$547,$A114,SIGAF!$N$2:$N$547)</f>
        <v>7437589.6600000001</v>
      </c>
      <c r="R114" s="67">
        <f t="shared" si="26"/>
        <v>0.69836522629107978</v>
      </c>
    </row>
    <row r="115" spans="1:19" x14ac:dyDescent="0.25">
      <c r="A115" s="11" t="s">
        <v>202</v>
      </c>
      <c r="B115" s="11" t="s">
        <v>203</v>
      </c>
      <c r="C115" s="13">
        <f>SUMIF(SIGAF!$B$2:$B$547,$A115,SIGAF!$F$2:$F$547)</f>
        <v>34600000</v>
      </c>
      <c r="D115" s="13">
        <f>SUMIF(SIGAF!$B$2:$B$547,$A115,SIGAF!$G$2:$G$547)</f>
        <v>34600000</v>
      </c>
      <c r="E115" s="13">
        <f>SUMIF(SIGAF!$B$2:$B$547,$A115,SIGAF!$H$2:$H$547)</f>
        <v>0</v>
      </c>
      <c r="F115" s="67">
        <f t="shared" si="22"/>
        <v>0</v>
      </c>
      <c r="G115" s="13">
        <f>SUMIF(SIGAF!$B$2:$B$547,$A115,SIGAF!$I$2:$I$547)</f>
        <v>8812270</v>
      </c>
      <c r="H115" s="67">
        <f t="shared" si="23"/>
        <v>0.25468988439306356</v>
      </c>
      <c r="I115" s="13">
        <f>SUMIF(SIGAF!$B$2:$B$547,$A115,SIGAF!$J$2:$J$547)</f>
        <v>0</v>
      </c>
      <c r="J115" s="67">
        <f t="shared" si="23"/>
        <v>0</v>
      </c>
      <c r="K115" s="13">
        <f>SUMIF(SIGAF!$B$2:$B$547,$A115,SIGAF!$K$2:$K$547)</f>
        <v>9440899</v>
      </c>
      <c r="L115" s="142">
        <f t="shared" si="27"/>
        <v>0.2728583526011561</v>
      </c>
      <c r="M115" s="13">
        <f>SUMIF(SIGAF!$B$2:$B$547,$A115,SIGAF!$L$2:$L$547)</f>
        <v>8990899</v>
      </c>
      <c r="N115" s="67">
        <f t="shared" si="24"/>
        <v>0.25985257225433528</v>
      </c>
      <c r="O115" s="86">
        <f>SUMIF(SIGAF!$B$2:$B$547,$A115,SIGAF!$M$2:$M$547)</f>
        <v>16346831</v>
      </c>
      <c r="P115" s="67">
        <f t="shared" si="25"/>
        <v>0.47245176300578035</v>
      </c>
      <c r="Q115" s="13">
        <f>SUMIF(SIGAF!$B$2:$B$547,$A115,SIGAF!$N$2:$N$547)</f>
        <v>16346831</v>
      </c>
      <c r="R115" s="67">
        <f t="shared" si="26"/>
        <v>0.47245176300578035</v>
      </c>
    </row>
    <row r="116" spans="1:19" s="23" customFormat="1" x14ac:dyDescent="0.25">
      <c r="A116" s="21" t="s">
        <v>204</v>
      </c>
      <c r="B116" s="21" t="s">
        <v>484</v>
      </c>
      <c r="C116" s="35">
        <f>SUMIF(SIGAF!$B$2:$B$547,$A116,SIGAF!$F$2:$F$547)</f>
        <v>17156319741.66</v>
      </c>
      <c r="D116" s="35">
        <f>SUMIF(SIGAF!$B$2:$B$547,$A116,SIGAF!$G$2:$G$547)</f>
        <v>17156319741.66</v>
      </c>
      <c r="E116" s="35">
        <f>SUMIF(SIGAF!$B$2:$B$547,$A116,SIGAF!$H$2:$H$547)</f>
        <v>112744985.28</v>
      </c>
      <c r="F116" s="66">
        <f t="shared" si="22"/>
        <v>6.5716299869502835E-3</v>
      </c>
      <c r="G116" s="35">
        <f>SUMIF(SIGAF!$B$2:$B$547,$A116,SIGAF!$I$2:$I$547)</f>
        <v>2067001096.8799999</v>
      </c>
      <c r="H116" s="66">
        <f t="shared" si="23"/>
        <v>0.12048044848807431</v>
      </c>
      <c r="I116" s="35">
        <f>SUMIF(SIGAF!$B$2:$B$547,$A116,SIGAF!$J$2:$J$547)</f>
        <v>0</v>
      </c>
      <c r="J116" s="66">
        <f t="shared" si="23"/>
        <v>0</v>
      </c>
      <c r="K116" s="35">
        <f>SUMIF(SIGAF!$B$2:$B$547,$A116,SIGAF!$K$2:$K$547)</f>
        <v>12538732111.809999</v>
      </c>
      <c r="L116" s="141">
        <f t="shared" si="27"/>
        <v>0.73085208836267501</v>
      </c>
      <c r="M116" s="35">
        <f>SUMIF(SIGAF!$B$2:$B$547,$A116,SIGAF!$L$2:$L$547)</f>
        <v>11264633672.77</v>
      </c>
      <c r="N116" s="66">
        <f t="shared" si="24"/>
        <v>0.65658800036330311</v>
      </c>
      <c r="O116" s="87">
        <f>SUMIF(SIGAF!$B$2:$B$547,$A116,SIGAF!$M$2:$M$547)</f>
        <v>2437841547.6900001</v>
      </c>
      <c r="P116" s="66">
        <f t="shared" si="25"/>
        <v>0.1420958331623004</v>
      </c>
      <c r="Q116" s="35">
        <f>SUMIF(SIGAF!$B$2:$B$547,$A116,SIGAF!$N$2:$N$547)</f>
        <v>2437841547.6900001</v>
      </c>
      <c r="R116" s="66">
        <f t="shared" si="26"/>
        <v>0.1420958331623004</v>
      </c>
      <c r="S116" s="130"/>
    </row>
    <row r="117" spans="1:19" x14ac:dyDescent="0.25">
      <c r="A117" s="11" t="s">
        <v>206</v>
      </c>
      <c r="B117" s="11" t="s">
        <v>485</v>
      </c>
      <c r="C117" s="13">
        <f>SUMIF(SIGAF!$B$2:$B$547,$A117,SIGAF!$F$2:$F$547)</f>
        <v>995436870</v>
      </c>
      <c r="D117" s="13">
        <f>SUMIF(SIGAF!$B$2:$B$547,$A117,SIGAF!$G$2:$G$547)</f>
        <v>995436870</v>
      </c>
      <c r="E117" s="13">
        <f>SUMIF(SIGAF!$B$2:$B$547,$A117,SIGAF!$H$2:$H$547)</f>
        <v>575000</v>
      </c>
      <c r="F117" s="67">
        <f t="shared" si="22"/>
        <v>5.7763582737296035E-4</v>
      </c>
      <c r="G117" s="13">
        <f>SUMIF(SIGAF!$B$2:$B$547,$A117,SIGAF!$I$2:$I$547)</f>
        <v>65510669.640000001</v>
      </c>
      <c r="H117" s="67">
        <f t="shared" si="23"/>
        <v>6.5810973668274916E-2</v>
      </c>
      <c r="I117" s="13">
        <f>SUMIF(SIGAF!$B$2:$B$547,$A117,SIGAF!$J$2:$J$547)</f>
        <v>0</v>
      </c>
      <c r="J117" s="67">
        <f t="shared" si="23"/>
        <v>0</v>
      </c>
      <c r="K117" s="13">
        <f>SUMIF(SIGAF!$B$2:$B$547,$A117,SIGAF!$K$2:$K$547)</f>
        <v>804695947.26999998</v>
      </c>
      <c r="L117" s="142">
        <f t="shared" si="27"/>
        <v>0.80838471179995575</v>
      </c>
      <c r="M117" s="13">
        <f>SUMIF(SIGAF!$B$2:$B$547,$A117,SIGAF!$L$2:$L$547)</f>
        <v>746939033.75</v>
      </c>
      <c r="N117" s="67">
        <f t="shared" si="24"/>
        <v>0.75036303783885361</v>
      </c>
      <c r="O117" s="86">
        <f>SUMIF(SIGAF!$B$2:$B$547,$A117,SIGAF!$M$2:$M$547)</f>
        <v>124655253.09</v>
      </c>
      <c r="P117" s="67">
        <f t="shared" si="25"/>
        <v>0.12522667870439638</v>
      </c>
      <c r="Q117" s="13">
        <f>SUMIF(SIGAF!$B$2:$B$547,$A117,SIGAF!$N$2:$N$547)</f>
        <v>124655253.09</v>
      </c>
      <c r="R117" s="67">
        <f t="shared" si="26"/>
        <v>0.12522667870439638</v>
      </c>
      <c r="S117" s="131">
        <f>+S116/D10</f>
        <v>0</v>
      </c>
    </row>
    <row r="118" spans="1:19" x14ac:dyDescent="0.25">
      <c r="A118" s="11" t="s">
        <v>208</v>
      </c>
      <c r="B118" s="11" t="s">
        <v>486</v>
      </c>
      <c r="C118" s="13">
        <f>SUMIF(SIGAF!$B$2:$B$547,$A118,SIGAF!$F$2:$F$547)</f>
        <v>672961134</v>
      </c>
      <c r="D118" s="13">
        <f>SUMIF(SIGAF!$B$2:$B$547,$A118,SIGAF!$G$2:$G$547)</f>
        <v>672961134</v>
      </c>
      <c r="E118" s="13">
        <f>SUMIF(SIGAF!$B$2:$B$547,$A118,SIGAF!$H$2:$H$547)</f>
        <v>0</v>
      </c>
      <c r="F118" s="67">
        <f t="shared" si="22"/>
        <v>0</v>
      </c>
      <c r="G118" s="13">
        <f>SUMIF(SIGAF!$B$2:$B$547,$A118,SIGAF!$I$2:$I$547)</f>
        <v>55597109.640000001</v>
      </c>
      <c r="H118" s="67">
        <f t="shared" si="23"/>
        <v>8.2615632361318511E-2</v>
      </c>
      <c r="I118" s="13">
        <f>SUMIF(SIGAF!$B$2:$B$547,$A118,SIGAF!$J$2:$J$547)</f>
        <v>0</v>
      </c>
      <c r="J118" s="67">
        <f t="shared" si="23"/>
        <v>0</v>
      </c>
      <c r="K118" s="13">
        <f>SUMIF(SIGAF!$B$2:$B$547,$A118,SIGAF!$K$2:$K$547)</f>
        <v>523161270.76000005</v>
      </c>
      <c r="L118" s="142">
        <f t="shared" si="27"/>
        <v>0.7774019097512993</v>
      </c>
      <c r="M118" s="13">
        <f>SUMIF(SIGAF!$B$2:$B$547,$A118,SIGAF!$L$2:$L$547)</f>
        <v>473111105.39999998</v>
      </c>
      <c r="N118" s="67">
        <f t="shared" si="24"/>
        <v>0.70302886971775691</v>
      </c>
      <c r="O118" s="86">
        <f>SUMIF(SIGAF!$B$2:$B$547,$A118,SIGAF!$M$2:$M$547)</f>
        <v>94202753.599999994</v>
      </c>
      <c r="P118" s="67">
        <f t="shared" si="25"/>
        <v>0.13998245788738223</v>
      </c>
      <c r="Q118" s="13">
        <f>SUMIF(SIGAF!$B$2:$B$547,$A118,SIGAF!$N$2:$N$547)</f>
        <v>94202753.599999994</v>
      </c>
      <c r="R118" s="67">
        <f t="shared" si="26"/>
        <v>0.13998245788738223</v>
      </c>
    </row>
    <row r="119" spans="1:19" x14ac:dyDescent="0.25">
      <c r="A119" s="11" t="s">
        <v>210</v>
      </c>
      <c r="B119" s="11" t="s">
        <v>487</v>
      </c>
      <c r="C119" s="13">
        <f>SUMIF(SIGAF!$B$2:$B$547,$A119,SIGAF!$F$2:$F$547)</f>
        <v>210618025</v>
      </c>
      <c r="D119" s="13">
        <f>SUMIF(SIGAF!$B$2:$B$547,$A119,SIGAF!$G$2:$G$547)</f>
        <v>210618025</v>
      </c>
      <c r="E119" s="13">
        <f>SUMIF(SIGAF!$B$2:$B$547,$A119,SIGAF!$H$2:$H$547)</f>
        <v>575000</v>
      </c>
      <c r="F119" s="67">
        <f t="shared" si="22"/>
        <v>2.730060734355476E-3</v>
      </c>
      <c r="G119" s="13">
        <f>SUMIF(SIGAF!$B$2:$B$547,$A119,SIGAF!$I$2:$I$547)</f>
        <v>1847650</v>
      </c>
      <c r="H119" s="67">
        <f t="shared" si="23"/>
        <v>8.7725160275337315E-3</v>
      </c>
      <c r="I119" s="13">
        <f>SUMIF(SIGAF!$B$2:$B$547,$A119,SIGAF!$J$2:$J$547)</f>
        <v>0</v>
      </c>
      <c r="J119" s="67">
        <f t="shared" si="23"/>
        <v>0</v>
      </c>
      <c r="K119" s="13">
        <f>SUMIF(SIGAF!$B$2:$B$547,$A119,SIGAF!$K$2:$K$547)</f>
        <v>203075687.36000001</v>
      </c>
      <c r="L119" s="142">
        <f t="shared" si="27"/>
        <v>0.96418949593701686</v>
      </c>
      <c r="M119" s="13">
        <f>SUMIF(SIGAF!$B$2:$B$547,$A119,SIGAF!$L$2:$L$547)</f>
        <v>203006737.36000001</v>
      </c>
      <c r="N119" s="67">
        <f t="shared" si="24"/>
        <v>0.96386212604547983</v>
      </c>
      <c r="O119" s="86">
        <f>SUMIF(SIGAF!$B$2:$B$547,$A119,SIGAF!$M$2:$M$547)</f>
        <v>5119687.6399999997</v>
      </c>
      <c r="P119" s="67">
        <f t="shared" si="25"/>
        <v>2.4307927301094004E-2</v>
      </c>
      <c r="Q119" s="13">
        <f>SUMIF(SIGAF!$B$2:$B$547,$A119,SIGAF!$N$2:$N$547)</f>
        <v>5119687.6399999997</v>
      </c>
      <c r="R119" s="67">
        <f t="shared" si="26"/>
        <v>2.4307927301094004E-2</v>
      </c>
    </row>
    <row r="120" spans="1:19" x14ac:dyDescent="0.25">
      <c r="A120" s="11" t="s">
        <v>375</v>
      </c>
      <c r="B120" s="11" t="s">
        <v>488</v>
      </c>
      <c r="C120" s="13">
        <f>SUMIF(SIGAF!$B$2:$B$547,$A120,SIGAF!$F$2:$F$547)</f>
        <v>6774000</v>
      </c>
      <c r="D120" s="13">
        <f>SUMIF(SIGAF!$B$2:$B$547,$A120,SIGAF!$G$2:$G$547)</f>
        <v>6774000</v>
      </c>
      <c r="E120" s="13">
        <f>SUMIF(SIGAF!$B$2:$B$547,$A120,SIGAF!$H$2:$H$547)</f>
        <v>0</v>
      </c>
      <c r="F120" s="67">
        <f t="shared" si="22"/>
        <v>0</v>
      </c>
      <c r="G120" s="13">
        <f>SUMIF(SIGAF!$B$2:$B$547,$A120,SIGAF!$I$2:$I$547)</f>
        <v>0</v>
      </c>
      <c r="H120" s="67">
        <f t="shared" si="23"/>
        <v>0</v>
      </c>
      <c r="I120" s="13">
        <f>SUMIF(SIGAF!$B$2:$B$547,$A120,SIGAF!$J$2:$J$547)</f>
        <v>0</v>
      </c>
      <c r="J120" s="67">
        <f t="shared" si="23"/>
        <v>0</v>
      </c>
      <c r="K120" s="13">
        <f>SUMIF(SIGAF!$B$2:$B$547,$A120,SIGAF!$K$2:$K$547)</f>
        <v>0</v>
      </c>
      <c r="L120" s="142">
        <f t="shared" si="27"/>
        <v>0</v>
      </c>
      <c r="M120" s="13">
        <f>SUMIF(SIGAF!$B$2:$B$547,$A120,SIGAF!$L$2:$L$547)</f>
        <v>0</v>
      </c>
      <c r="N120" s="67">
        <f t="shared" si="24"/>
        <v>0</v>
      </c>
      <c r="O120" s="86">
        <f>SUMIF(SIGAF!$B$2:$B$547,$A120,SIGAF!$M$2:$M$547)</f>
        <v>6774000</v>
      </c>
      <c r="P120" s="67">
        <f t="shared" si="25"/>
        <v>1</v>
      </c>
      <c r="Q120" s="13">
        <f>SUMIF(SIGAF!$B$2:$B$547,$A120,SIGAF!$N$2:$N$547)</f>
        <v>6774000</v>
      </c>
      <c r="R120" s="67">
        <f t="shared" si="26"/>
        <v>1</v>
      </c>
    </row>
    <row r="121" spans="1:19" x14ac:dyDescent="0.25">
      <c r="A121" s="11" t="s">
        <v>212</v>
      </c>
      <c r="B121" s="11" t="s">
        <v>489</v>
      </c>
      <c r="C121" s="13">
        <f>SUMIF(SIGAF!$B$2:$B$547,$A121,SIGAF!$F$2:$F$547)</f>
        <v>92886178</v>
      </c>
      <c r="D121" s="13">
        <f>SUMIF(SIGAF!$B$2:$B$547,$A121,SIGAF!$G$2:$G$547)</f>
        <v>92886178</v>
      </c>
      <c r="E121" s="13">
        <f>SUMIF(SIGAF!$B$2:$B$547,$A121,SIGAF!$H$2:$H$547)</f>
        <v>0</v>
      </c>
      <c r="F121" s="67">
        <f t="shared" si="22"/>
        <v>0</v>
      </c>
      <c r="G121" s="13">
        <f>SUMIF(SIGAF!$B$2:$B$547,$A121,SIGAF!$I$2:$I$547)</f>
        <v>0</v>
      </c>
      <c r="H121" s="67">
        <f t="shared" si="23"/>
        <v>0</v>
      </c>
      <c r="I121" s="13">
        <f>SUMIF(SIGAF!$B$2:$B$547,$A121,SIGAF!$J$2:$J$547)</f>
        <v>0</v>
      </c>
      <c r="J121" s="67">
        <f t="shared" si="23"/>
        <v>0</v>
      </c>
      <c r="K121" s="13">
        <f>SUMIF(SIGAF!$B$2:$B$547,$A121,SIGAF!$K$2:$K$547)</f>
        <v>76476556.150000006</v>
      </c>
      <c r="L121" s="142">
        <f t="shared" si="27"/>
        <v>0.82333623577449822</v>
      </c>
      <c r="M121" s="13">
        <f>SUMIF(SIGAF!$B$2:$B$547,$A121,SIGAF!$L$2:$L$547)</f>
        <v>70205363.989999995</v>
      </c>
      <c r="N121" s="67">
        <f t="shared" si="24"/>
        <v>0.75582143114985301</v>
      </c>
      <c r="O121" s="86">
        <f>SUMIF(SIGAF!$B$2:$B$547,$A121,SIGAF!$M$2:$M$547)</f>
        <v>16409621.850000001</v>
      </c>
      <c r="P121" s="67">
        <f t="shared" si="25"/>
        <v>0.1766637642255019</v>
      </c>
      <c r="Q121" s="13">
        <f>SUMIF(SIGAF!$B$2:$B$547,$A121,SIGAF!$N$2:$N$547)</f>
        <v>16409621.850000001</v>
      </c>
      <c r="R121" s="67">
        <f t="shared" si="26"/>
        <v>0.1766637642255019</v>
      </c>
    </row>
    <row r="122" spans="1:19" x14ac:dyDescent="0.25">
      <c r="A122" s="11" t="s">
        <v>214</v>
      </c>
      <c r="B122" s="11" t="s">
        <v>490</v>
      </c>
      <c r="C122" s="13">
        <f>SUMIF(SIGAF!$B$2:$B$547,$A122,SIGAF!$F$2:$F$547)</f>
        <v>12197533</v>
      </c>
      <c r="D122" s="13">
        <f>SUMIF(SIGAF!$B$2:$B$547,$A122,SIGAF!$G$2:$G$547)</f>
        <v>12197533</v>
      </c>
      <c r="E122" s="13">
        <f>SUMIF(SIGAF!$B$2:$B$547,$A122,SIGAF!$H$2:$H$547)</f>
        <v>0</v>
      </c>
      <c r="F122" s="67">
        <f t="shared" si="22"/>
        <v>0</v>
      </c>
      <c r="G122" s="13">
        <f>SUMIF(SIGAF!$B$2:$B$547,$A122,SIGAF!$I$2:$I$547)</f>
        <v>8065910</v>
      </c>
      <c r="H122" s="67">
        <f t="shared" si="23"/>
        <v>0.66127388218584859</v>
      </c>
      <c r="I122" s="13">
        <f>SUMIF(SIGAF!$B$2:$B$547,$A122,SIGAF!$J$2:$J$547)</f>
        <v>0</v>
      </c>
      <c r="J122" s="67">
        <f t="shared" si="23"/>
        <v>0</v>
      </c>
      <c r="K122" s="13">
        <f>SUMIF(SIGAF!$B$2:$B$547,$A122,SIGAF!$K$2:$K$547)</f>
        <v>1982433</v>
      </c>
      <c r="L122" s="142">
        <f t="shared" si="27"/>
        <v>0.16252737336312187</v>
      </c>
      <c r="M122" s="13">
        <f>SUMIF(SIGAF!$B$2:$B$547,$A122,SIGAF!$L$2:$L$547)</f>
        <v>615827</v>
      </c>
      <c r="N122" s="67">
        <f t="shared" si="24"/>
        <v>5.0487832252636658E-2</v>
      </c>
      <c r="O122" s="86">
        <f>SUMIF(SIGAF!$B$2:$B$547,$A122,SIGAF!$M$2:$M$547)</f>
        <v>2149190</v>
      </c>
      <c r="P122" s="67">
        <f t="shared" si="25"/>
        <v>0.17619874445102957</v>
      </c>
      <c r="Q122" s="13">
        <f>SUMIF(SIGAF!$B$2:$B$547,$A122,SIGAF!$N$2:$N$547)</f>
        <v>2149190</v>
      </c>
      <c r="R122" s="67">
        <f t="shared" si="26"/>
        <v>0.17619874445102957</v>
      </c>
    </row>
    <row r="123" spans="1:19" x14ac:dyDescent="0.25">
      <c r="A123" s="11" t="s">
        <v>216</v>
      </c>
      <c r="B123" s="11" t="s">
        <v>491</v>
      </c>
      <c r="C123" s="13">
        <f>SUMIF(SIGAF!$B$2:$B$547,$A123,SIGAF!$F$2:$F$547)</f>
        <v>12205661519.66</v>
      </c>
      <c r="D123" s="13">
        <f>SUMIF(SIGAF!$B$2:$B$547,$A123,SIGAF!$G$2:$G$547)</f>
        <v>12205661519.66</v>
      </c>
      <c r="E123" s="13">
        <f>SUMIF(SIGAF!$B$2:$B$547,$A123,SIGAF!$H$2:$H$547)</f>
        <v>0</v>
      </c>
      <c r="F123" s="67">
        <f t="shared" si="22"/>
        <v>0</v>
      </c>
      <c r="G123" s="13">
        <f>SUMIF(SIGAF!$B$2:$B$547,$A123,SIGAF!$I$2:$I$547)</f>
        <v>1810847298.48</v>
      </c>
      <c r="H123" s="67">
        <f t="shared" si="23"/>
        <v>0.14836125805743652</v>
      </c>
      <c r="I123" s="13">
        <f>SUMIF(SIGAF!$B$2:$B$547,$A123,SIGAF!$J$2:$J$547)</f>
        <v>0</v>
      </c>
      <c r="J123" s="67">
        <f t="shared" si="23"/>
        <v>0</v>
      </c>
      <c r="K123" s="13">
        <f>SUMIF(SIGAF!$B$2:$B$547,$A123,SIGAF!$K$2:$K$547)</f>
        <v>8393994583.5799999</v>
      </c>
      <c r="L123" s="142">
        <f t="shared" si="27"/>
        <v>0.68771320342281805</v>
      </c>
      <c r="M123" s="13">
        <f>SUMIF(SIGAF!$B$2:$B$547,$A123,SIGAF!$L$2:$L$547)</f>
        <v>7481179649.2700005</v>
      </c>
      <c r="N123" s="67">
        <f t="shared" si="24"/>
        <v>0.6129270123720747</v>
      </c>
      <c r="O123" s="86">
        <f>SUMIF(SIGAF!$B$2:$B$547,$A123,SIGAF!$M$2:$M$547)</f>
        <v>2000819637.5999999</v>
      </c>
      <c r="P123" s="67">
        <f t="shared" si="25"/>
        <v>0.16392553851974542</v>
      </c>
      <c r="Q123" s="13">
        <f>SUMIF(SIGAF!$B$2:$B$547,$A123,SIGAF!$N$2:$N$547)</f>
        <v>2000819637.5999999</v>
      </c>
      <c r="R123" s="67">
        <f t="shared" si="26"/>
        <v>0.16392553851974542</v>
      </c>
    </row>
    <row r="124" spans="1:19" x14ac:dyDescent="0.25">
      <c r="A124" s="11" t="s">
        <v>218</v>
      </c>
      <c r="B124" s="11" t="s">
        <v>219</v>
      </c>
      <c r="C124" s="13">
        <f>SUMIF(SIGAF!$B$2:$B$547,$A124,SIGAF!$F$2:$F$547)</f>
        <v>12188132519.66</v>
      </c>
      <c r="D124" s="13">
        <f>SUMIF(SIGAF!$B$2:$B$547,$A124,SIGAF!$G$2:$G$547)</f>
        <v>12188132519.66</v>
      </c>
      <c r="E124" s="13">
        <f>SUMIF(SIGAF!$B$2:$B$547,$A124,SIGAF!$H$2:$H$547)</f>
        <v>0</v>
      </c>
      <c r="F124" s="67">
        <f t="shared" si="22"/>
        <v>0</v>
      </c>
      <c r="G124" s="13">
        <f>SUMIF(SIGAF!$B$2:$B$547,$A124,SIGAF!$I$2:$I$547)</f>
        <v>1810847298.48</v>
      </c>
      <c r="H124" s="67">
        <f t="shared" si="23"/>
        <v>0.14857463155729747</v>
      </c>
      <c r="I124" s="13">
        <f>SUMIF(SIGAF!$B$2:$B$547,$A124,SIGAF!$J$2:$J$547)</f>
        <v>0</v>
      </c>
      <c r="J124" s="67">
        <f t="shared" si="23"/>
        <v>0</v>
      </c>
      <c r="K124" s="13">
        <f>SUMIF(SIGAF!$B$2:$B$547,$A124,SIGAF!$K$2:$K$547)</f>
        <v>8376499108.5799999</v>
      </c>
      <c r="L124" s="142">
        <f t="shared" si="27"/>
        <v>0.68726682246589743</v>
      </c>
      <c r="M124" s="13">
        <f>SUMIF(SIGAF!$B$2:$B$547,$A124,SIGAF!$L$2:$L$547)</f>
        <v>7463684174.2700005</v>
      </c>
      <c r="N124" s="67">
        <f t="shared" si="24"/>
        <v>0.61237307374454175</v>
      </c>
      <c r="O124" s="86">
        <f>SUMIF(SIGAF!$B$2:$B$547,$A124,SIGAF!$M$2:$M$547)</f>
        <v>2000786112.5999999</v>
      </c>
      <c r="P124" s="67">
        <f t="shared" si="25"/>
        <v>0.16415854597680513</v>
      </c>
      <c r="Q124" s="13">
        <f>SUMIF(SIGAF!$B$2:$B$547,$A124,SIGAF!$N$2:$N$547)</f>
        <v>2000786112.5999999</v>
      </c>
      <c r="R124" s="67">
        <f t="shared" si="26"/>
        <v>0.16415854597680513</v>
      </c>
    </row>
    <row r="125" spans="1:19" x14ac:dyDescent="0.25">
      <c r="A125" s="11" t="s">
        <v>377</v>
      </c>
      <c r="B125" s="11" t="s">
        <v>492</v>
      </c>
      <c r="C125" s="13">
        <f>SUMIF(SIGAF!$B$2:$B$547,$A125,SIGAF!$F$2:$F$547)</f>
        <v>17529000</v>
      </c>
      <c r="D125" s="13">
        <f>SUMIF(SIGAF!$B$2:$B$547,$A125,SIGAF!$G$2:$G$547)</f>
        <v>17529000</v>
      </c>
      <c r="E125" s="13">
        <f>SUMIF(SIGAF!$B$2:$B$547,$A125,SIGAF!$H$2:$H$547)</f>
        <v>0</v>
      </c>
      <c r="F125" s="67">
        <f t="shared" si="22"/>
        <v>0</v>
      </c>
      <c r="G125" s="13">
        <f>SUMIF(SIGAF!$B$2:$B$547,$A125,SIGAF!$I$2:$I$547)</f>
        <v>0</v>
      </c>
      <c r="H125" s="67">
        <f t="shared" si="23"/>
        <v>0</v>
      </c>
      <c r="I125" s="13">
        <f>SUMIF(SIGAF!$B$2:$B$547,$A125,SIGAF!$J$2:$J$547)</f>
        <v>0</v>
      </c>
      <c r="J125" s="67">
        <f t="shared" si="23"/>
        <v>0</v>
      </c>
      <c r="K125" s="13">
        <f>SUMIF(SIGAF!$B$2:$B$547,$A125,SIGAF!$K$2:$K$547)</f>
        <v>17495475</v>
      </c>
      <c r="L125" s="142">
        <f t="shared" si="27"/>
        <v>0.99808745507444807</v>
      </c>
      <c r="M125" s="13">
        <f>SUMIF(SIGAF!$B$2:$B$547,$A125,SIGAF!$L$2:$L$547)</f>
        <v>17495475</v>
      </c>
      <c r="N125" s="67">
        <f t="shared" si="24"/>
        <v>0.99808745507444807</v>
      </c>
      <c r="O125" s="86">
        <f>SUMIF(SIGAF!$B$2:$B$547,$A125,SIGAF!$M$2:$M$547)</f>
        <v>33525</v>
      </c>
      <c r="P125" s="67">
        <f t="shared" si="25"/>
        <v>1.9125449255519426E-3</v>
      </c>
      <c r="Q125" s="13">
        <f>SUMIF(SIGAF!$B$2:$B$547,$A125,SIGAF!$N$2:$N$547)</f>
        <v>33525</v>
      </c>
      <c r="R125" s="67">
        <f t="shared" si="26"/>
        <v>1.9125449255519426E-3</v>
      </c>
    </row>
    <row r="126" spans="1:19" x14ac:dyDescent="0.25">
      <c r="A126" s="11" t="s">
        <v>220</v>
      </c>
      <c r="B126" s="11" t="s">
        <v>493</v>
      </c>
      <c r="C126" s="13">
        <f>SUMIF(SIGAF!$B$2:$B$547,$A126,SIGAF!$F$2:$F$547)</f>
        <v>922227245</v>
      </c>
      <c r="D126" s="13">
        <f>SUMIF(SIGAF!$B$2:$B$547,$A126,SIGAF!$G$2:$G$547)</f>
        <v>922227245</v>
      </c>
      <c r="E126" s="13">
        <f>SUMIF(SIGAF!$B$2:$B$547,$A126,SIGAF!$H$2:$H$547)</f>
        <v>34844733.579999998</v>
      </c>
      <c r="F126" s="67">
        <f t="shared" si="22"/>
        <v>3.7783240268508871E-2</v>
      </c>
      <c r="G126" s="13">
        <f>SUMIF(SIGAF!$B$2:$B$547,$A126,SIGAF!$I$2:$I$547)</f>
        <v>72823780.430000007</v>
      </c>
      <c r="H126" s="67">
        <f t="shared" si="23"/>
        <v>7.8965114970117808E-2</v>
      </c>
      <c r="I126" s="13">
        <f>SUMIF(SIGAF!$B$2:$B$547,$A126,SIGAF!$J$2:$J$547)</f>
        <v>0</v>
      </c>
      <c r="J126" s="67">
        <f t="shared" si="23"/>
        <v>0</v>
      </c>
      <c r="K126" s="13">
        <f>SUMIF(SIGAF!$B$2:$B$547,$A126,SIGAF!$K$2:$K$547)</f>
        <v>688594948.35000002</v>
      </c>
      <c r="L126" s="142">
        <f t="shared" si="27"/>
        <v>0.74666515447610748</v>
      </c>
      <c r="M126" s="13">
        <f>SUMIF(SIGAF!$B$2:$B$547,$A126,SIGAF!$L$2:$L$547)</f>
        <v>564072519.17999995</v>
      </c>
      <c r="N126" s="67">
        <f t="shared" si="24"/>
        <v>0.61164156907986378</v>
      </c>
      <c r="O126" s="86">
        <f>SUMIF(SIGAF!$B$2:$B$547,$A126,SIGAF!$M$2:$M$547)</f>
        <v>125963782.64</v>
      </c>
      <c r="P126" s="67">
        <f t="shared" si="25"/>
        <v>0.13658649028526587</v>
      </c>
      <c r="Q126" s="13">
        <f>SUMIF(SIGAF!$B$2:$B$547,$A126,SIGAF!$N$2:$N$547)</f>
        <v>125963782.64</v>
      </c>
      <c r="R126" s="67">
        <f t="shared" si="26"/>
        <v>0.13658649028526587</v>
      </c>
    </row>
    <row r="127" spans="1:19" x14ac:dyDescent="0.25">
      <c r="A127" s="11" t="s">
        <v>222</v>
      </c>
      <c r="B127" s="11" t="s">
        <v>494</v>
      </c>
      <c r="C127" s="13">
        <f>SUMIF(SIGAF!$B$2:$B$547,$A127,SIGAF!$F$2:$F$547)</f>
        <v>265795119</v>
      </c>
      <c r="D127" s="13">
        <f>SUMIF(SIGAF!$B$2:$B$547,$A127,SIGAF!$G$2:$G$547)</f>
        <v>265795119</v>
      </c>
      <c r="E127" s="13">
        <f>SUMIF(SIGAF!$B$2:$B$547,$A127,SIGAF!$H$2:$H$547)</f>
        <v>0</v>
      </c>
      <c r="F127" s="67">
        <f t="shared" si="22"/>
        <v>0</v>
      </c>
      <c r="G127" s="13">
        <f>SUMIF(SIGAF!$B$2:$B$547,$A127,SIGAF!$I$2:$I$547)</f>
        <v>16531441.5</v>
      </c>
      <c r="H127" s="67">
        <f t="shared" si="23"/>
        <v>6.2196181638685399E-2</v>
      </c>
      <c r="I127" s="13">
        <f>SUMIF(SIGAF!$B$2:$B$547,$A127,SIGAF!$J$2:$J$547)</f>
        <v>0</v>
      </c>
      <c r="J127" s="67">
        <f t="shared" si="23"/>
        <v>0</v>
      </c>
      <c r="K127" s="13">
        <f>SUMIF(SIGAF!$B$2:$B$547,$A127,SIGAF!$K$2:$K$547)</f>
        <v>238452100.24000001</v>
      </c>
      <c r="L127" s="142">
        <f t="shared" si="27"/>
        <v>0.89712746094483398</v>
      </c>
      <c r="M127" s="13">
        <f>SUMIF(SIGAF!$B$2:$B$547,$A127,SIGAF!$L$2:$L$547)</f>
        <v>210859650.74000001</v>
      </c>
      <c r="N127" s="67">
        <f t="shared" si="24"/>
        <v>0.79331648953267653</v>
      </c>
      <c r="O127" s="86">
        <f>SUMIF(SIGAF!$B$2:$B$547,$A127,SIGAF!$M$2:$M$547)</f>
        <v>10811577.26</v>
      </c>
      <c r="P127" s="67">
        <f t="shared" si="25"/>
        <v>4.0676357416480624E-2</v>
      </c>
      <c r="Q127" s="13">
        <f>SUMIF(SIGAF!$B$2:$B$547,$A127,SIGAF!$N$2:$N$547)</f>
        <v>10811577.26</v>
      </c>
      <c r="R127" s="67">
        <f t="shared" si="26"/>
        <v>4.0676357416480624E-2</v>
      </c>
    </row>
    <row r="128" spans="1:19" x14ac:dyDescent="0.25">
      <c r="A128" s="11" t="s">
        <v>346</v>
      </c>
      <c r="B128" s="11" t="s">
        <v>495</v>
      </c>
      <c r="C128" s="13">
        <f>SUMIF(SIGAF!$B$2:$B$547,$A128,SIGAF!$F$2:$F$547)</f>
        <v>62539000</v>
      </c>
      <c r="D128" s="13">
        <f>SUMIF(SIGAF!$B$2:$B$547,$A128,SIGAF!$G$2:$G$547)</f>
        <v>62539000</v>
      </c>
      <c r="E128" s="13">
        <f>SUMIF(SIGAF!$B$2:$B$547,$A128,SIGAF!$H$2:$H$547)</f>
        <v>0</v>
      </c>
      <c r="F128" s="67">
        <f t="shared" si="22"/>
        <v>0</v>
      </c>
      <c r="G128" s="13">
        <f>SUMIF(SIGAF!$B$2:$B$547,$A128,SIGAF!$I$2:$I$547)</f>
        <v>21350000</v>
      </c>
      <c r="H128" s="67">
        <f t="shared" si="23"/>
        <v>0.34138697452789457</v>
      </c>
      <c r="I128" s="13">
        <f>SUMIF(SIGAF!$B$2:$B$547,$A128,SIGAF!$J$2:$J$547)</f>
        <v>0</v>
      </c>
      <c r="J128" s="67">
        <f t="shared" si="23"/>
        <v>0</v>
      </c>
      <c r="K128" s="13">
        <f>SUMIF(SIGAF!$B$2:$B$547,$A128,SIGAF!$K$2:$K$547)</f>
        <v>29659621.899999999</v>
      </c>
      <c r="L128" s="142">
        <f t="shared" si="27"/>
        <v>0.47425801339963858</v>
      </c>
      <c r="M128" s="13">
        <f>SUMIF(SIGAF!$B$2:$B$547,$A128,SIGAF!$L$2:$L$547)</f>
        <v>29565881.899999999</v>
      </c>
      <c r="N128" s="67">
        <f t="shared" si="24"/>
        <v>0.47275910871616111</v>
      </c>
      <c r="O128" s="86">
        <f>SUMIF(SIGAF!$B$2:$B$547,$A128,SIGAF!$M$2:$M$547)</f>
        <v>11529378.1</v>
      </c>
      <c r="P128" s="67">
        <f t="shared" si="25"/>
        <v>0.18435501207246677</v>
      </c>
      <c r="Q128" s="13">
        <f>SUMIF(SIGAF!$B$2:$B$547,$A128,SIGAF!$N$2:$N$547)</f>
        <v>11529378.1</v>
      </c>
      <c r="R128" s="67">
        <f t="shared" si="26"/>
        <v>0.18435501207246677</v>
      </c>
    </row>
    <row r="129" spans="1:18" x14ac:dyDescent="0.25">
      <c r="A129" s="11" t="s">
        <v>348</v>
      </c>
      <c r="B129" s="11" t="s">
        <v>496</v>
      </c>
      <c r="C129" s="13">
        <f>SUMIF(SIGAF!$B$2:$B$547,$A129,SIGAF!$F$2:$F$547)</f>
        <v>119762827</v>
      </c>
      <c r="D129" s="13">
        <f>SUMIF(SIGAF!$B$2:$B$547,$A129,SIGAF!$G$2:$G$547)</f>
        <v>119762827</v>
      </c>
      <c r="E129" s="13">
        <f>SUMIF(SIGAF!$B$2:$B$547,$A129,SIGAF!$H$2:$H$547)</f>
        <v>0</v>
      </c>
      <c r="F129" s="67">
        <f t="shared" si="22"/>
        <v>0</v>
      </c>
      <c r="G129" s="13">
        <f>SUMIF(SIGAF!$B$2:$B$547,$A129,SIGAF!$I$2:$I$547)</f>
        <v>34681337.5</v>
      </c>
      <c r="H129" s="67">
        <f t="shared" si="23"/>
        <v>0.28958349071035205</v>
      </c>
      <c r="I129" s="13">
        <f>SUMIF(SIGAF!$B$2:$B$547,$A129,SIGAF!$J$2:$J$547)</f>
        <v>0</v>
      </c>
      <c r="J129" s="67">
        <f t="shared" si="23"/>
        <v>0</v>
      </c>
      <c r="K129" s="13">
        <f>SUMIF(SIGAF!$B$2:$B$547,$A129,SIGAF!$K$2:$K$547)</f>
        <v>76608639.5</v>
      </c>
      <c r="L129" s="142">
        <f t="shared" si="27"/>
        <v>0.6396695988146639</v>
      </c>
      <c r="M129" s="13">
        <f>SUMIF(SIGAF!$B$2:$B$547,$A129,SIGAF!$L$2:$L$547)</f>
        <v>76579192.5</v>
      </c>
      <c r="N129" s="67">
        <f t="shared" si="24"/>
        <v>0.63942372118520552</v>
      </c>
      <c r="O129" s="86">
        <f>SUMIF(SIGAF!$B$2:$B$547,$A129,SIGAF!$M$2:$M$547)</f>
        <v>8472850</v>
      </c>
      <c r="P129" s="67">
        <f t="shared" si="25"/>
        <v>7.0746910474984034E-2</v>
      </c>
      <c r="Q129" s="13">
        <f>SUMIF(SIGAF!$B$2:$B$547,$A129,SIGAF!$N$2:$N$547)</f>
        <v>8472850</v>
      </c>
      <c r="R129" s="67">
        <f t="shared" si="26"/>
        <v>7.0746910474984034E-2</v>
      </c>
    </row>
    <row r="130" spans="1:18" x14ac:dyDescent="0.25">
      <c r="A130" s="11" t="s">
        <v>224</v>
      </c>
      <c r="B130" s="11" t="s">
        <v>497</v>
      </c>
      <c r="C130" s="13">
        <f>SUMIF(SIGAF!$B$2:$B$547,$A130,SIGAF!$F$2:$F$547)</f>
        <v>280322339</v>
      </c>
      <c r="D130" s="13">
        <f>SUMIF(SIGAF!$B$2:$B$547,$A130,SIGAF!$G$2:$G$547)</f>
        <v>280322339</v>
      </c>
      <c r="E130" s="13">
        <f>SUMIF(SIGAF!$B$2:$B$547,$A130,SIGAF!$H$2:$H$547)</f>
        <v>0</v>
      </c>
      <c r="F130" s="67">
        <f t="shared" si="22"/>
        <v>0</v>
      </c>
      <c r="G130" s="13">
        <f>SUMIF(SIGAF!$B$2:$B$547,$A130,SIGAF!$I$2:$I$547)</f>
        <v>261001.43</v>
      </c>
      <c r="H130" s="67">
        <f t="shared" si="23"/>
        <v>9.3107609950414969E-4</v>
      </c>
      <c r="I130" s="13">
        <f>SUMIF(SIGAF!$B$2:$B$547,$A130,SIGAF!$J$2:$J$547)</f>
        <v>0</v>
      </c>
      <c r="J130" s="67">
        <f t="shared" si="23"/>
        <v>0</v>
      </c>
      <c r="K130" s="13">
        <f>SUMIF(SIGAF!$B$2:$B$547,$A130,SIGAF!$K$2:$K$547)</f>
        <v>243819759.56</v>
      </c>
      <c r="L130" s="142">
        <f t="shared" si="27"/>
        <v>0.8697835514279153</v>
      </c>
      <c r="M130" s="13">
        <f>SUMIF(SIGAF!$B$2:$B$547,$A130,SIGAF!$L$2:$L$547)</f>
        <v>152155994.94</v>
      </c>
      <c r="N130" s="67">
        <f t="shared" si="24"/>
        <v>0.54278940266690623</v>
      </c>
      <c r="O130" s="86">
        <f>SUMIF(SIGAF!$B$2:$B$547,$A130,SIGAF!$M$2:$M$547)</f>
        <v>36241578.010000005</v>
      </c>
      <c r="P130" s="67">
        <f t="shared" si="25"/>
        <v>0.1292853724725806</v>
      </c>
      <c r="Q130" s="13">
        <f>SUMIF(SIGAF!$B$2:$B$547,$A130,SIGAF!$N$2:$N$547)</f>
        <v>36241578.010000005</v>
      </c>
      <c r="R130" s="67">
        <f t="shared" si="26"/>
        <v>0.1292853724725806</v>
      </c>
    </row>
    <row r="131" spans="1:18" x14ac:dyDescent="0.25">
      <c r="A131" s="11" t="s">
        <v>226</v>
      </c>
      <c r="B131" s="11" t="s">
        <v>498</v>
      </c>
      <c r="C131" s="13">
        <f>SUMIF(SIGAF!$B$2:$B$547,$A131,SIGAF!$F$2:$F$547)</f>
        <v>2842000</v>
      </c>
      <c r="D131" s="13">
        <f>SUMIF(SIGAF!$B$2:$B$547,$A131,SIGAF!$G$2:$G$547)</f>
        <v>2842000</v>
      </c>
      <c r="E131" s="13">
        <f>SUMIF(SIGAF!$B$2:$B$547,$A131,SIGAF!$H$2:$H$547)</f>
        <v>0</v>
      </c>
      <c r="F131" s="67">
        <f t="shared" si="22"/>
        <v>0</v>
      </c>
      <c r="G131" s="13">
        <f>SUMIF(SIGAF!$B$2:$B$547,$A131,SIGAF!$I$2:$I$547)</f>
        <v>0</v>
      </c>
      <c r="H131" s="67">
        <f t="shared" si="23"/>
        <v>0</v>
      </c>
      <c r="I131" s="13">
        <f>SUMIF(SIGAF!$B$2:$B$547,$A131,SIGAF!$J$2:$J$547)</f>
        <v>0</v>
      </c>
      <c r="J131" s="67">
        <f t="shared" si="23"/>
        <v>0</v>
      </c>
      <c r="K131" s="13">
        <f>SUMIF(SIGAF!$B$2:$B$547,$A131,SIGAF!$K$2:$K$547)</f>
        <v>2780760</v>
      </c>
      <c r="L131" s="142">
        <f t="shared" si="27"/>
        <v>0.9784517945109078</v>
      </c>
      <c r="M131" s="13">
        <f>SUMIF(SIGAF!$B$2:$B$547,$A131,SIGAF!$L$2:$L$547)</f>
        <v>2780760</v>
      </c>
      <c r="N131" s="67">
        <f t="shared" si="24"/>
        <v>0.9784517945109078</v>
      </c>
      <c r="O131" s="86">
        <f>SUMIF(SIGAF!$B$2:$B$547,$A131,SIGAF!$M$2:$M$547)</f>
        <v>61240</v>
      </c>
      <c r="P131" s="67">
        <f t="shared" si="25"/>
        <v>2.1548205489092188E-2</v>
      </c>
      <c r="Q131" s="13">
        <f>SUMIF(SIGAF!$B$2:$B$547,$A131,SIGAF!$N$2:$N$547)</f>
        <v>61240</v>
      </c>
      <c r="R131" s="67">
        <f t="shared" si="26"/>
        <v>2.1548205489092188E-2</v>
      </c>
    </row>
    <row r="132" spans="1:18" x14ac:dyDescent="0.25">
      <c r="A132" s="11" t="s">
        <v>228</v>
      </c>
      <c r="B132" s="11" t="s">
        <v>499</v>
      </c>
      <c r="C132" s="13">
        <f>SUMIF(SIGAF!$B$2:$B$547,$A132,SIGAF!$F$2:$F$547)</f>
        <v>114632000</v>
      </c>
      <c r="D132" s="13">
        <f>SUMIF(SIGAF!$B$2:$B$547,$A132,SIGAF!$G$2:$G$547)</f>
        <v>114632000</v>
      </c>
      <c r="E132" s="13">
        <f>SUMIF(SIGAF!$B$2:$B$547,$A132,SIGAF!$H$2:$H$547)</f>
        <v>34844733.579999998</v>
      </c>
      <c r="F132" s="67">
        <f t="shared" si="22"/>
        <v>0.30397038854770048</v>
      </c>
      <c r="G132" s="13">
        <f>SUMIF(SIGAF!$B$2:$B$547,$A132,SIGAF!$I$2:$I$547)</f>
        <v>0</v>
      </c>
      <c r="H132" s="67">
        <f t="shared" si="23"/>
        <v>0</v>
      </c>
      <c r="I132" s="13">
        <f>SUMIF(SIGAF!$B$2:$B$547,$A132,SIGAF!$J$2:$J$547)</f>
        <v>0</v>
      </c>
      <c r="J132" s="67">
        <f t="shared" si="23"/>
        <v>0</v>
      </c>
      <c r="K132" s="13">
        <f>SUMIF(SIGAF!$B$2:$B$547,$A132,SIGAF!$K$2:$K$547)</f>
        <v>46018056.799999997</v>
      </c>
      <c r="L132" s="142">
        <f t="shared" si="27"/>
        <v>0.40144162886454043</v>
      </c>
      <c r="M132" s="13">
        <f>SUMIF(SIGAF!$B$2:$B$547,$A132,SIGAF!$L$2:$L$547)</f>
        <v>46018056.799999997</v>
      </c>
      <c r="N132" s="67">
        <f t="shared" si="24"/>
        <v>0.40144162886454043</v>
      </c>
      <c r="O132" s="86">
        <f>SUMIF(SIGAF!$B$2:$B$547,$A132,SIGAF!$M$2:$M$547)</f>
        <v>33769209.620000005</v>
      </c>
      <c r="P132" s="67">
        <f t="shared" si="25"/>
        <v>0.29458798258775915</v>
      </c>
      <c r="Q132" s="13">
        <f>SUMIF(SIGAF!$B$2:$B$547,$A132,SIGAF!$N$2:$N$547)</f>
        <v>33769209.620000005</v>
      </c>
      <c r="R132" s="67">
        <f t="shared" si="26"/>
        <v>0.29458798258775915</v>
      </c>
    </row>
    <row r="133" spans="1:18" x14ac:dyDescent="0.25">
      <c r="A133" s="11" t="s">
        <v>230</v>
      </c>
      <c r="B133" s="11" t="s">
        <v>500</v>
      </c>
      <c r="C133" s="13">
        <f>SUMIF(SIGAF!$B$2:$B$547,$A133,SIGAF!$F$2:$F$547)</f>
        <v>76333960</v>
      </c>
      <c r="D133" s="13">
        <f>SUMIF(SIGAF!$B$2:$B$547,$A133,SIGAF!$G$2:$G$547)</f>
        <v>76333960</v>
      </c>
      <c r="E133" s="13">
        <f>SUMIF(SIGAF!$B$2:$B$547,$A133,SIGAF!$H$2:$H$547)</f>
        <v>0</v>
      </c>
      <c r="F133" s="67">
        <f t="shared" si="22"/>
        <v>0</v>
      </c>
      <c r="G133" s="13">
        <f>SUMIF(SIGAF!$B$2:$B$547,$A133,SIGAF!$I$2:$I$547)</f>
        <v>0</v>
      </c>
      <c r="H133" s="67">
        <f t="shared" si="23"/>
        <v>0</v>
      </c>
      <c r="I133" s="13">
        <f>SUMIF(SIGAF!$B$2:$B$547,$A133,SIGAF!$J$2:$J$547)</f>
        <v>0</v>
      </c>
      <c r="J133" s="67">
        <f t="shared" si="23"/>
        <v>0</v>
      </c>
      <c r="K133" s="13">
        <f>SUMIF(SIGAF!$B$2:$B$547,$A133,SIGAF!$K$2:$K$547)</f>
        <v>51256010.350000001</v>
      </c>
      <c r="L133" s="142">
        <f t="shared" si="27"/>
        <v>0.67147060561249539</v>
      </c>
      <c r="M133" s="13">
        <f>SUMIF(SIGAF!$B$2:$B$547,$A133,SIGAF!$L$2:$L$547)</f>
        <v>46112982.299999997</v>
      </c>
      <c r="N133" s="67">
        <f t="shared" si="24"/>
        <v>0.60409524541894588</v>
      </c>
      <c r="O133" s="86">
        <f>SUMIF(SIGAF!$B$2:$B$547,$A133,SIGAF!$M$2:$M$547)</f>
        <v>25077949.649999999</v>
      </c>
      <c r="P133" s="67">
        <f t="shared" si="25"/>
        <v>0.32852939438750456</v>
      </c>
      <c r="Q133" s="13">
        <f>SUMIF(SIGAF!$B$2:$B$547,$A133,SIGAF!$N$2:$N$547)</f>
        <v>25077949.649999999</v>
      </c>
      <c r="R133" s="67">
        <f t="shared" si="26"/>
        <v>0.32852939438750456</v>
      </c>
    </row>
    <row r="134" spans="1:18" x14ac:dyDescent="0.25">
      <c r="A134" s="11" t="s">
        <v>232</v>
      </c>
      <c r="B134" s="11" t="s">
        <v>501</v>
      </c>
      <c r="C134" s="13">
        <f>SUMIF(SIGAF!$B$2:$B$547,$A134,SIGAF!$F$2:$F$547)</f>
        <v>255874378</v>
      </c>
      <c r="D134" s="13">
        <f>SUMIF(SIGAF!$B$2:$B$547,$A134,SIGAF!$G$2:$G$547)</f>
        <v>255874378</v>
      </c>
      <c r="E134" s="13">
        <f>SUMIF(SIGAF!$B$2:$B$547,$A134,SIGAF!$H$2:$H$547)</f>
        <v>15006602</v>
      </c>
      <c r="F134" s="67">
        <f t="shared" si="22"/>
        <v>5.8648318433821456E-2</v>
      </c>
      <c r="G134" s="13">
        <f>SUMIF(SIGAF!$B$2:$B$547,$A134,SIGAF!$I$2:$I$547)</f>
        <v>13364836.119999999</v>
      </c>
      <c r="H134" s="67">
        <f t="shared" si="23"/>
        <v>5.223202191819299E-2</v>
      </c>
      <c r="I134" s="13">
        <f>SUMIF(SIGAF!$B$2:$B$547,$A134,SIGAF!$J$2:$J$547)</f>
        <v>0</v>
      </c>
      <c r="J134" s="67">
        <f t="shared" si="23"/>
        <v>0</v>
      </c>
      <c r="K134" s="13">
        <f>SUMIF(SIGAF!$B$2:$B$547,$A134,SIGAF!$K$2:$K$547)</f>
        <v>202734040.44999999</v>
      </c>
      <c r="L134" s="142">
        <f t="shared" si="27"/>
        <v>0.79231864493286619</v>
      </c>
      <c r="M134" s="13">
        <f>SUMIF(SIGAF!$B$2:$B$547,$A134,SIGAF!$L$2:$L$547)</f>
        <v>170160392.25999999</v>
      </c>
      <c r="N134" s="67">
        <f t="shared" si="24"/>
        <v>0.66501536257764737</v>
      </c>
      <c r="O134" s="86">
        <f>SUMIF(SIGAF!$B$2:$B$547,$A134,SIGAF!$M$2:$M$547)</f>
        <v>24768899.43</v>
      </c>
      <c r="P134" s="67">
        <f t="shared" si="25"/>
        <v>9.6801014715119302E-2</v>
      </c>
      <c r="Q134" s="13">
        <f>SUMIF(SIGAF!$B$2:$B$547,$A134,SIGAF!$N$2:$N$547)</f>
        <v>24768899.43</v>
      </c>
      <c r="R134" s="67">
        <f t="shared" si="26"/>
        <v>9.6801014715119302E-2</v>
      </c>
    </row>
    <row r="135" spans="1:18" x14ac:dyDescent="0.25">
      <c r="A135" s="11" t="s">
        <v>234</v>
      </c>
      <c r="B135" s="11" t="s">
        <v>502</v>
      </c>
      <c r="C135" s="13">
        <f>SUMIF(SIGAF!$B$2:$B$547,$A135,SIGAF!$F$2:$F$547)</f>
        <v>90314843</v>
      </c>
      <c r="D135" s="13">
        <f>SUMIF(SIGAF!$B$2:$B$547,$A135,SIGAF!$G$2:$G$547)</f>
        <v>90314843</v>
      </c>
      <c r="E135" s="13">
        <f>SUMIF(SIGAF!$B$2:$B$547,$A135,SIGAF!$H$2:$H$547)</f>
        <v>15006602</v>
      </c>
      <c r="F135" s="67">
        <f t="shared" si="22"/>
        <v>0.16615875642943873</v>
      </c>
      <c r="G135" s="13">
        <f>SUMIF(SIGAF!$B$2:$B$547,$A135,SIGAF!$I$2:$I$547)</f>
        <v>1104997.52</v>
      </c>
      <c r="H135" s="67">
        <f t="shared" si="23"/>
        <v>1.2234949243060745E-2</v>
      </c>
      <c r="I135" s="13">
        <f>SUMIF(SIGAF!$B$2:$B$547,$A135,SIGAF!$J$2:$J$547)</f>
        <v>0</v>
      </c>
      <c r="J135" s="67">
        <f t="shared" si="23"/>
        <v>0</v>
      </c>
      <c r="K135" s="13">
        <f>SUMIF(SIGAF!$B$2:$B$547,$A135,SIGAF!$K$2:$K$547)</f>
        <v>59825101.390000001</v>
      </c>
      <c r="L135" s="142">
        <f t="shared" si="27"/>
        <v>0.66240608301782689</v>
      </c>
      <c r="M135" s="13">
        <f>SUMIF(SIGAF!$B$2:$B$547,$A135,SIGAF!$L$2:$L$547)</f>
        <v>39371927.189999998</v>
      </c>
      <c r="N135" s="67">
        <f t="shared" si="24"/>
        <v>0.43594082525283245</v>
      </c>
      <c r="O135" s="86">
        <f>SUMIF(SIGAF!$B$2:$B$547,$A135,SIGAF!$M$2:$M$547)</f>
        <v>14378142.09</v>
      </c>
      <c r="P135" s="67">
        <f t="shared" si="25"/>
        <v>0.15920021130967366</v>
      </c>
      <c r="Q135" s="13">
        <f>SUMIF(SIGAF!$B$2:$B$547,$A135,SIGAF!$N$2:$N$547)</f>
        <v>14378142.09</v>
      </c>
      <c r="R135" s="67">
        <f t="shared" si="26"/>
        <v>0.15920021130967366</v>
      </c>
    </row>
    <row r="136" spans="1:18" x14ac:dyDescent="0.25">
      <c r="A136" s="11" t="s">
        <v>236</v>
      </c>
      <c r="B136" s="11" t="s">
        <v>503</v>
      </c>
      <c r="C136" s="13">
        <f>SUMIF(SIGAF!$B$2:$B$547,$A136,SIGAF!$F$2:$F$547)</f>
        <v>165559535</v>
      </c>
      <c r="D136" s="13">
        <f>SUMIF(SIGAF!$B$2:$B$547,$A136,SIGAF!$G$2:$G$547)</f>
        <v>165559535</v>
      </c>
      <c r="E136" s="13">
        <f>SUMIF(SIGAF!$B$2:$B$547,$A136,SIGAF!$H$2:$H$547)</f>
        <v>0</v>
      </c>
      <c r="F136" s="67">
        <f t="shared" si="22"/>
        <v>0</v>
      </c>
      <c r="G136" s="13">
        <f>SUMIF(SIGAF!$B$2:$B$547,$A136,SIGAF!$I$2:$I$547)</f>
        <v>12259838.6</v>
      </c>
      <c r="H136" s="67">
        <f t="shared" si="23"/>
        <v>7.4050936419941024E-2</v>
      </c>
      <c r="I136" s="13">
        <f>SUMIF(SIGAF!$B$2:$B$547,$A136,SIGAF!$J$2:$J$547)</f>
        <v>0</v>
      </c>
      <c r="J136" s="67">
        <f t="shared" si="23"/>
        <v>0</v>
      </c>
      <c r="K136" s="13">
        <f>SUMIF(SIGAF!$B$2:$B$547,$A136,SIGAF!$K$2:$K$547)</f>
        <v>142908939.06</v>
      </c>
      <c r="L136" s="142">
        <f t="shared" si="27"/>
        <v>0.86318760837302422</v>
      </c>
      <c r="M136" s="13">
        <f>SUMIF(SIGAF!$B$2:$B$547,$A136,SIGAF!$L$2:$L$547)</f>
        <v>130788465.06999999</v>
      </c>
      <c r="N136" s="67">
        <f t="shared" si="24"/>
        <v>0.78997845137702272</v>
      </c>
      <c r="O136" s="86">
        <f>SUMIF(SIGAF!$B$2:$B$547,$A136,SIGAF!$M$2:$M$547)</f>
        <v>10390757.34</v>
      </c>
      <c r="P136" s="67">
        <f t="shared" si="25"/>
        <v>6.2761455207034744E-2</v>
      </c>
      <c r="Q136" s="13">
        <f>SUMIF(SIGAF!$B$2:$B$547,$A136,SIGAF!$N$2:$N$547)</f>
        <v>10390757.34</v>
      </c>
      <c r="R136" s="67">
        <f t="shared" si="26"/>
        <v>6.2761455207034744E-2</v>
      </c>
    </row>
    <row r="137" spans="1:18" x14ac:dyDescent="0.25">
      <c r="A137" s="11" t="s">
        <v>238</v>
      </c>
      <c r="B137" s="11" t="s">
        <v>504</v>
      </c>
      <c r="C137" s="13">
        <f>SUMIF(SIGAF!$B$2:$B$547,$A137,SIGAF!$F$2:$F$547)</f>
        <v>2777119729</v>
      </c>
      <c r="D137" s="13">
        <f>SUMIF(SIGAF!$B$2:$B$547,$A137,SIGAF!$G$2:$G$547)</f>
        <v>2777119729</v>
      </c>
      <c r="E137" s="13">
        <f>SUMIF(SIGAF!$B$2:$B$547,$A137,SIGAF!$H$2:$H$547)</f>
        <v>62318649.700000003</v>
      </c>
      <c r="F137" s="67">
        <f t="shared" si="22"/>
        <v>2.2440029880324976E-2</v>
      </c>
      <c r="G137" s="13">
        <f>SUMIF(SIGAF!$B$2:$B$547,$A137,SIGAF!$I$2:$I$547)</f>
        <v>104454512.20999999</v>
      </c>
      <c r="H137" s="67">
        <f t="shared" si="23"/>
        <v>3.7612534713298992E-2</v>
      </c>
      <c r="I137" s="13">
        <f>SUMIF(SIGAF!$B$2:$B$547,$A137,SIGAF!$J$2:$J$547)</f>
        <v>0</v>
      </c>
      <c r="J137" s="67">
        <f t="shared" si="23"/>
        <v>0</v>
      </c>
      <c r="K137" s="13">
        <f>SUMIF(SIGAF!$B$2:$B$547,$A137,SIGAF!$K$2:$K$547)</f>
        <v>2448712592.1600003</v>
      </c>
      <c r="L137" s="142">
        <f t="shared" si="27"/>
        <v>0.8817454165153138</v>
      </c>
      <c r="M137" s="13">
        <f>SUMIF(SIGAF!$B$2:$B$547,$A137,SIGAF!$L$2:$L$547)</f>
        <v>2302282078.3099999</v>
      </c>
      <c r="N137" s="67">
        <f t="shared" si="24"/>
        <v>0.82901794051890509</v>
      </c>
      <c r="O137" s="86">
        <f>SUMIF(SIGAF!$B$2:$B$547,$A137,SIGAF!$M$2:$M$547)</f>
        <v>161633974.92999998</v>
      </c>
      <c r="P137" s="67">
        <f t="shared" si="25"/>
        <v>5.8202018891062357E-2</v>
      </c>
      <c r="Q137" s="13">
        <f>SUMIF(SIGAF!$B$2:$B$547,$A137,SIGAF!$N$2:$N$547)</f>
        <v>161633974.92999998</v>
      </c>
      <c r="R137" s="67">
        <f t="shared" si="26"/>
        <v>5.8202018891062357E-2</v>
      </c>
    </row>
    <row r="138" spans="1:18" x14ac:dyDescent="0.25">
      <c r="A138" s="11" t="s">
        <v>240</v>
      </c>
      <c r="B138" s="11" t="s">
        <v>505</v>
      </c>
      <c r="C138" s="13">
        <f>SUMIF(SIGAF!$B$2:$B$547,$A138,SIGAF!$F$2:$F$547)</f>
        <v>28079013</v>
      </c>
      <c r="D138" s="13">
        <f>SUMIF(SIGAF!$B$2:$B$547,$A138,SIGAF!$G$2:$G$547)</f>
        <v>28079013</v>
      </c>
      <c r="E138" s="13">
        <f>SUMIF(SIGAF!$B$2:$B$547,$A138,SIGAF!$H$2:$H$547)</f>
        <v>0</v>
      </c>
      <c r="F138" s="67">
        <f t="shared" si="22"/>
        <v>0</v>
      </c>
      <c r="G138" s="13">
        <f>SUMIF(SIGAF!$B$2:$B$547,$A138,SIGAF!$I$2:$I$547)</f>
        <v>3281213.64</v>
      </c>
      <c r="H138" s="67">
        <f t="shared" si="23"/>
        <v>0.11685644506094285</v>
      </c>
      <c r="I138" s="13">
        <f>SUMIF(SIGAF!$B$2:$B$547,$A138,SIGAF!$J$2:$J$547)</f>
        <v>0</v>
      </c>
      <c r="J138" s="67">
        <f t="shared" si="23"/>
        <v>0</v>
      </c>
      <c r="K138" s="13">
        <f>SUMIF(SIGAF!$B$2:$B$547,$A138,SIGAF!$K$2:$K$547)</f>
        <v>12430892.16</v>
      </c>
      <c r="L138" s="142">
        <f t="shared" si="27"/>
        <v>0.44271115085134938</v>
      </c>
      <c r="M138" s="13">
        <f>SUMIF(SIGAF!$B$2:$B$547,$A138,SIGAF!$L$2:$L$547)</f>
        <v>4812202.16</v>
      </c>
      <c r="N138" s="67">
        <f t="shared" si="24"/>
        <v>0.17138074475765941</v>
      </c>
      <c r="O138" s="86">
        <f>SUMIF(SIGAF!$B$2:$B$547,$A138,SIGAF!$M$2:$M$547)</f>
        <v>12366907.199999999</v>
      </c>
      <c r="P138" s="67">
        <f t="shared" si="25"/>
        <v>0.44043240408770773</v>
      </c>
      <c r="Q138" s="13">
        <f>SUMIF(SIGAF!$B$2:$B$547,$A138,SIGAF!$N$2:$N$547)</f>
        <v>12366907.199999999</v>
      </c>
      <c r="R138" s="67">
        <f t="shared" si="26"/>
        <v>0.44043240408770773</v>
      </c>
    </row>
    <row r="139" spans="1:18" x14ac:dyDescent="0.25">
      <c r="A139" s="11" t="s">
        <v>242</v>
      </c>
      <c r="B139" s="11" t="s">
        <v>506</v>
      </c>
      <c r="C139" s="13">
        <f>SUMIF(SIGAF!$B$2:$B$547,$A139,SIGAF!$F$2:$F$547)</f>
        <v>18629900</v>
      </c>
      <c r="D139" s="13">
        <f>SUMIF(SIGAF!$B$2:$B$547,$A139,SIGAF!$G$2:$G$547)</f>
        <v>18629900</v>
      </c>
      <c r="E139" s="13">
        <f>SUMIF(SIGAF!$B$2:$B$547,$A139,SIGAF!$H$2:$H$547)</f>
        <v>7380460.8499999996</v>
      </c>
      <c r="F139" s="67">
        <f t="shared" si="22"/>
        <v>0.39616212915796645</v>
      </c>
      <c r="G139" s="13">
        <f>SUMIF(SIGAF!$B$2:$B$547,$A139,SIGAF!$I$2:$I$547)</f>
        <v>1688522.36</v>
      </c>
      <c r="H139" s="67">
        <f t="shared" si="23"/>
        <v>9.0635073725570198E-2</v>
      </c>
      <c r="I139" s="13">
        <f>SUMIF(SIGAF!$B$2:$B$547,$A139,SIGAF!$J$2:$J$547)</f>
        <v>0</v>
      </c>
      <c r="J139" s="67">
        <f t="shared" si="23"/>
        <v>0</v>
      </c>
      <c r="K139" s="13">
        <f>SUMIF(SIGAF!$B$2:$B$547,$A139,SIGAF!$K$2:$K$547)</f>
        <v>6112387.0099999998</v>
      </c>
      <c r="L139" s="142">
        <f t="shared" si="27"/>
        <v>0.32809553513438072</v>
      </c>
      <c r="M139" s="13">
        <f>SUMIF(SIGAF!$B$2:$B$547,$A139,SIGAF!$L$2:$L$547)</f>
        <v>6112387.0099999998</v>
      </c>
      <c r="N139" s="67">
        <f t="shared" si="24"/>
        <v>0.32809553513438072</v>
      </c>
      <c r="O139" s="86">
        <f>SUMIF(SIGAF!$B$2:$B$547,$A139,SIGAF!$M$2:$M$547)</f>
        <v>3448529.7800000003</v>
      </c>
      <c r="P139" s="67">
        <f t="shared" si="25"/>
        <v>0.18510726198208258</v>
      </c>
      <c r="Q139" s="13">
        <f>SUMIF(SIGAF!$B$2:$B$547,$A139,SIGAF!$N$2:$N$547)</f>
        <v>3448529.7800000003</v>
      </c>
      <c r="R139" s="67">
        <f t="shared" si="26"/>
        <v>0.18510726198208258</v>
      </c>
    </row>
    <row r="140" spans="1:18" x14ac:dyDescent="0.25">
      <c r="A140" s="11" t="s">
        <v>244</v>
      </c>
      <c r="B140" s="11" t="s">
        <v>507</v>
      </c>
      <c r="C140" s="13">
        <f>SUMIF(SIGAF!$B$2:$B$547,$A140,SIGAF!$F$2:$F$547)</f>
        <v>258644265</v>
      </c>
      <c r="D140" s="13">
        <f>SUMIF(SIGAF!$B$2:$B$547,$A140,SIGAF!$G$2:$G$547)</f>
        <v>258644265</v>
      </c>
      <c r="E140" s="13">
        <f>SUMIF(SIGAF!$B$2:$B$547,$A140,SIGAF!$H$2:$H$547)</f>
        <v>0</v>
      </c>
      <c r="F140" s="67">
        <f t="shared" ref="F140:F200" si="35">+IFERROR(+E140/$C140,0)</f>
        <v>0</v>
      </c>
      <c r="G140" s="13">
        <f>SUMIF(SIGAF!$B$2:$B$547,$A140,SIGAF!$I$2:$I$547)</f>
        <v>15149597.880000001</v>
      </c>
      <c r="H140" s="67">
        <f t="shared" ref="H140:J200" si="36">+IFERROR(+G140/$C140,0)</f>
        <v>5.8573105728827977E-2</v>
      </c>
      <c r="I140" s="13">
        <f>SUMIF(SIGAF!$B$2:$B$547,$A140,SIGAF!$J$2:$J$547)</f>
        <v>0</v>
      </c>
      <c r="J140" s="67">
        <f t="shared" si="36"/>
        <v>0</v>
      </c>
      <c r="K140" s="13">
        <f>SUMIF(SIGAF!$B$2:$B$547,$A140,SIGAF!$K$2:$K$547)</f>
        <v>164170810.58000001</v>
      </c>
      <c r="L140" s="142">
        <f t="shared" si="27"/>
        <v>0.63473593965054675</v>
      </c>
      <c r="M140" s="13">
        <f>SUMIF(SIGAF!$B$2:$B$547,$A140,SIGAF!$L$2:$L$547)</f>
        <v>151622148.38</v>
      </c>
      <c r="N140" s="67">
        <f t="shared" ref="N140:N200" si="37">+IFERROR(+M140/$C140,0)</f>
        <v>0.58621886852971583</v>
      </c>
      <c r="O140" s="86">
        <f>SUMIF(SIGAF!$B$2:$B$547,$A140,SIGAF!$M$2:$M$547)</f>
        <v>79323856.539999992</v>
      </c>
      <c r="P140" s="67">
        <f t="shared" ref="P140:R200" si="38">+IFERROR(+O140/$C140,0)</f>
        <v>0.30669095462062534</v>
      </c>
      <c r="Q140" s="13">
        <f>SUMIF(SIGAF!$B$2:$B$547,$A140,SIGAF!$N$2:$N$547)</f>
        <v>79323856.539999992</v>
      </c>
      <c r="R140" s="67">
        <f t="shared" ref="R140:R200" si="39">+IFERROR(+Q140/$C140,0)</f>
        <v>0.30669095462062534</v>
      </c>
    </row>
    <row r="141" spans="1:18" x14ac:dyDescent="0.25">
      <c r="A141" s="11" t="s">
        <v>246</v>
      </c>
      <c r="B141" s="11" t="s">
        <v>247</v>
      </c>
      <c r="C141" s="13">
        <f>SUMIF(SIGAF!$B$2:$B$547,$A141,SIGAF!$F$2:$F$547)</f>
        <v>1043528910</v>
      </c>
      <c r="D141" s="13">
        <f>SUMIF(SIGAF!$B$2:$B$547,$A141,SIGAF!$G$2:$G$547)</f>
        <v>1043528910</v>
      </c>
      <c r="E141" s="13">
        <f>SUMIF(SIGAF!$B$2:$B$547,$A141,SIGAF!$H$2:$H$547)</f>
        <v>44671508.850000001</v>
      </c>
      <c r="F141" s="67">
        <f t="shared" si="35"/>
        <v>4.2808118128706184E-2</v>
      </c>
      <c r="G141" s="13">
        <f>SUMIF(SIGAF!$B$2:$B$547,$A141,SIGAF!$I$2:$I$547)</f>
        <v>69580</v>
      </c>
      <c r="H141" s="67">
        <f t="shared" si="36"/>
        <v>6.6677596886127478E-5</v>
      </c>
      <c r="I141" s="13">
        <f>SUMIF(SIGAF!$B$2:$B$547,$A141,SIGAF!$J$2:$J$547)</f>
        <v>0</v>
      </c>
      <c r="J141" s="67">
        <f t="shared" si="36"/>
        <v>0</v>
      </c>
      <c r="K141" s="13">
        <f>SUMIF(SIGAF!$B$2:$B$547,$A141,SIGAF!$K$2:$K$547)</f>
        <v>995815312.78999996</v>
      </c>
      <c r="L141" s="142">
        <f t="shared" si="27"/>
        <v>0.95427668869279336</v>
      </c>
      <c r="M141" s="13">
        <f>SUMIF(SIGAF!$B$2:$B$547,$A141,SIGAF!$L$2:$L$547)</f>
        <v>941721002.78999996</v>
      </c>
      <c r="N141" s="67">
        <f t="shared" si="37"/>
        <v>0.90243882442126111</v>
      </c>
      <c r="O141" s="86">
        <f>SUMIF(SIGAF!$B$2:$B$547,$A141,SIGAF!$M$2:$M$547)</f>
        <v>2972508.36</v>
      </c>
      <c r="P141" s="67">
        <f t="shared" si="38"/>
        <v>2.8485155816143129E-3</v>
      </c>
      <c r="Q141" s="13">
        <f>SUMIF(SIGAF!$B$2:$B$547,$A141,SIGAF!$N$2:$N$547)</f>
        <v>2972508.36</v>
      </c>
      <c r="R141" s="67">
        <f t="shared" si="39"/>
        <v>2.8485155816143129E-3</v>
      </c>
    </row>
    <row r="142" spans="1:18" x14ac:dyDescent="0.25">
      <c r="A142" s="11" t="s">
        <v>248</v>
      </c>
      <c r="B142" s="11" t="s">
        <v>508</v>
      </c>
      <c r="C142" s="13">
        <f>SUMIF(SIGAF!$B$2:$B$547,$A142,SIGAF!$F$2:$F$547)</f>
        <v>257353117</v>
      </c>
      <c r="D142" s="13">
        <f>SUMIF(SIGAF!$B$2:$B$547,$A142,SIGAF!$G$2:$G$547)</f>
        <v>257353117</v>
      </c>
      <c r="E142" s="13">
        <f>SUMIF(SIGAF!$B$2:$B$547,$A142,SIGAF!$H$2:$H$547)</f>
        <v>0</v>
      </c>
      <c r="F142" s="67">
        <f t="shared" si="35"/>
        <v>0</v>
      </c>
      <c r="G142" s="13">
        <f>SUMIF(SIGAF!$B$2:$B$547,$A142,SIGAF!$I$2:$I$547)</f>
        <v>17394876.309999999</v>
      </c>
      <c r="H142" s="67">
        <f t="shared" si="36"/>
        <v>6.7591473197505511E-2</v>
      </c>
      <c r="I142" s="13">
        <f>SUMIF(SIGAF!$B$2:$B$547,$A142,SIGAF!$J$2:$J$547)</f>
        <v>0</v>
      </c>
      <c r="J142" s="67">
        <f t="shared" si="36"/>
        <v>0</v>
      </c>
      <c r="K142" s="13">
        <f>SUMIF(SIGAF!$B$2:$B$547,$A142,SIGAF!$K$2:$K$547)</f>
        <v>229455599.51999998</v>
      </c>
      <c r="L142" s="142">
        <f t="shared" ref="L142:L198" si="40">+IFERROR(+K142/$C142,0)</f>
        <v>0.89159829185204698</v>
      </c>
      <c r="M142" s="13">
        <f>SUMIF(SIGAF!$B$2:$B$547,$A142,SIGAF!$L$2:$L$547)</f>
        <v>223514951.19</v>
      </c>
      <c r="N142" s="67">
        <f t="shared" si="37"/>
        <v>0.86851464554050839</v>
      </c>
      <c r="O142" s="86">
        <f>SUMIF(SIGAF!$B$2:$B$547,$A142,SIGAF!$M$2:$M$547)</f>
        <v>10502641.17</v>
      </c>
      <c r="P142" s="67">
        <f t="shared" si="38"/>
        <v>4.0810234950447478E-2</v>
      </c>
      <c r="Q142" s="13">
        <f>SUMIF(SIGAF!$B$2:$B$547,$A142,SIGAF!$N$2:$N$547)</f>
        <v>10502641.17</v>
      </c>
      <c r="R142" s="67">
        <f t="shared" si="39"/>
        <v>4.0810234950447478E-2</v>
      </c>
    </row>
    <row r="143" spans="1:18" x14ac:dyDescent="0.25">
      <c r="A143" s="11" t="s">
        <v>250</v>
      </c>
      <c r="B143" s="11" t="s">
        <v>509</v>
      </c>
      <c r="C143" s="13">
        <f>SUMIF(SIGAF!$B$2:$B$547,$A143,SIGAF!$F$2:$F$547)</f>
        <v>786549742</v>
      </c>
      <c r="D143" s="13">
        <f>SUMIF(SIGAF!$B$2:$B$547,$A143,SIGAF!$G$2:$G$547)</f>
        <v>786549742</v>
      </c>
      <c r="E143" s="13">
        <f>SUMIF(SIGAF!$B$2:$B$547,$A143,SIGAF!$H$2:$H$547)</f>
        <v>0</v>
      </c>
      <c r="F143" s="67">
        <f t="shared" si="35"/>
        <v>0</v>
      </c>
      <c r="G143" s="13">
        <f>SUMIF(SIGAF!$B$2:$B$547,$A143,SIGAF!$I$2:$I$547)</f>
        <v>18443544</v>
      </c>
      <c r="H143" s="67">
        <f t="shared" si="36"/>
        <v>2.3448668297954892E-2</v>
      </c>
      <c r="I143" s="13">
        <f>SUMIF(SIGAF!$B$2:$B$547,$A143,SIGAF!$J$2:$J$547)</f>
        <v>0</v>
      </c>
      <c r="J143" s="67">
        <f t="shared" si="36"/>
        <v>0</v>
      </c>
      <c r="K143" s="13">
        <f>SUMIF(SIGAF!$B$2:$B$547,$A143,SIGAF!$K$2:$K$547)</f>
        <v>755108072.39999998</v>
      </c>
      <c r="L143" s="142">
        <f t="shared" si="40"/>
        <v>0.96002583445002254</v>
      </c>
      <c r="M143" s="13">
        <f>SUMIF(SIGAF!$B$2:$B$547,$A143,SIGAF!$L$2:$L$547)</f>
        <v>744272020.64999998</v>
      </c>
      <c r="N143" s="67">
        <f t="shared" si="37"/>
        <v>0.94624914472351318</v>
      </c>
      <c r="O143" s="86">
        <f>SUMIF(SIGAF!$B$2:$B$547,$A143,SIGAF!$M$2:$M$547)</f>
        <v>12998125.6</v>
      </c>
      <c r="P143" s="67">
        <f t="shared" si="38"/>
        <v>1.652549725202249E-2</v>
      </c>
      <c r="Q143" s="13">
        <f>SUMIF(SIGAF!$B$2:$B$547,$A143,SIGAF!$N$2:$N$547)</f>
        <v>12998125.6</v>
      </c>
      <c r="R143" s="67">
        <f t="shared" si="39"/>
        <v>1.652549725202249E-2</v>
      </c>
    </row>
    <row r="144" spans="1:18" x14ac:dyDescent="0.25">
      <c r="A144" s="11" t="s">
        <v>252</v>
      </c>
      <c r="B144" s="11" t="s">
        <v>510</v>
      </c>
      <c r="C144" s="13">
        <f>SUMIF(SIGAF!$B$2:$B$547,$A144,SIGAF!$F$2:$F$547)</f>
        <v>124983000</v>
      </c>
      <c r="D144" s="13">
        <f>SUMIF(SIGAF!$B$2:$B$547,$A144,SIGAF!$G$2:$G$547)</f>
        <v>124983000</v>
      </c>
      <c r="E144" s="13">
        <f>SUMIF(SIGAF!$B$2:$B$547,$A144,SIGAF!$H$2:$H$547)</f>
        <v>0</v>
      </c>
      <c r="F144" s="67">
        <f t="shared" si="35"/>
        <v>0</v>
      </c>
      <c r="G144" s="13">
        <f>SUMIF(SIGAF!$B$2:$B$547,$A144,SIGAF!$I$2:$I$547)</f>
        <v>10265321.210000001</v>
      </c>
      <c r="H144" s="67">
        <f t="shared" si="36"/>
        <v>8.2133739868622144E-2</v>
      </c>
      <c r="I144" s="13">
        <f>SUMIF(SIGAF!$B$2:$B$547,$A144,SIGAF!$J$2:$J$547)</f>
        <v>0</v>
      </c>
      <c r="J144" s="67">
        <f t="shared" si="36"/>
        <v>0</v>
      </c>
      <c r="K144" s="13">
        <f>SUMIF(SIGAF!$B$2:$B$547,$A144,SIGAF!$K$2:$K$547)</f>
        <v>100769735.45999999</v>
      </c>
      <c r="L144" s="142">
        <f t="shared" si="40"/>
        <v>0.80626753606490476</v>
      </c>
      <c r="M144" s="13">
        <f>SUMIF(SIGAF!$B$2:$B$547,$A144,SIGAF!$L$2:$L$547)</f>
        <v>81705284.239999995</v>
      </c>
      <c r="N144" s="67">
        <f t="shared" si="37"/>
        <v>0.65373118136066499</v>
      </c>
      <c r="O144" s="86">
        <f>SUMIF(SIGAF!$B$2:$B$547,$A144,SIGAF!$M$2:$M$547)</f>
        <v>13947943.33</v>
      </c>
      <c r="P144" s="67">
        <f t="shared" si="38"/>
        <v>0.11159872406647305</v>
      </c>
      <c r="Q144" s="13">
        <f>SUMIF(SIGAF!$B$2:$B$547,$A144,SIGAF!$N$2:$N$547)</f>
        <v>13947943.33</v>
      </c>
      <c r="R144" s="67">
        <f t="shared" si="39"/>
        <v>0.11159872406647305</v>
      </c>
    </row>
    <row r="145" spans="1:18" x14ac:dyDescent="0.25">
      <c r="A145" s="11" t="s">
        <v>254</v>
      </c>
      <c r="B145" s="11" t="s">
        <v>511</v>
      </c>
      <c r="C145" s="13">
        <f>SUMIF(SIGAF!$B$2:$B$547,$A145,SIGAF!$F$2:$F$547)</f>
        <v>259351782</v>
      </c>
      <c r="D145" s="13">
        <f>SUMIF(SIGAF!$B$2:$B$547,$A145,SIGAF!$G$2:$G$547)</f>
        <v>259351782</v>
      </c>
      <c r="E145" s="13">
        <f>SUMIF(SIGAF!$B$2:$B$547,$A145,SIGAF!$H$2:$H$547)</f>
        <v>10266680</v>
      </c>
      <c r="F145" s="67">
        <f t="shared" si="35"/>
        <v>3.9585924264056147E-2</v>
      </c>
      <c r="G145" s="13">
        <f>SUMIF(SIGAF!$B$2:$B$547,$A145,SIGAF!$I$2:$I$547)</f>
        <v>38161856.810000002</v>
      </c>
      <c r="H145" s="67">
        <f t="shared" si="36"/>
        <v>0.14714322190390811</v>
      </c>
      <c r="I145" s="13">
        <f>SUMIF(SIGAF!$B$2:$B$547,$A145,SIGAF!$J$2:$J$547)</f>
        <v>0</v>
      </c>
      <c r="J145" s="67">
        <f t="shared" si="36"/>
        <v>0</v>
      </c>
      <c r="K145" s="13">
        <f>SUMIF(SIGAF!$B$2:$B$547,$A145,SIGAF!$K$2:$K$547)</f>
        <v>184849782.24000001</v>
      </c>
      <c r="L145" s="142">
        <f t="shared" si="40"/>
        <v>0.71273766007900419</v>
      </c>
      <c r="M145" s="13">
        <f>SUMIF(SIGAF!$B$2:$B$547,$A145,SIGAF!$L$2:$L$547)</f>
        <v>148522081.88999999</v>
      </c>
      <c r="N145" s="67">
        <f t="shared" si="37"/>
        <v>0.57266651782635514</v>
      </c>
      <c r="O145" s="86">
        <f>SUMIF(SIGAF!$B$2:$B$547,$A145,SIGAF!$M$2:$M$547)</f>
        <v>26073462.950000003</v>
      </c>
      <c r="P145" s="67">
        <f t="shared" si="38"/>
        <v>0.10053319375303156</v>
      </c>
      <c r="Q145" s="13">
        <f>SUMIF(SIGAF!$B$2:$B$547,$A145,SIGAF!$N$2:$N$547)</f>
        <v>26073462.950000003</v>
      </c>
      <c r="R145" s="67">
        <f t="shared" si="39"/>
        <v>0.10053319375303156</v>
      </c>
    </row>
    <row r="146" spans="1:18" s="23" customFormat="1" x14ac:dyDescent="0.25">
      <c r="A146" s="21" t="s">
        <v>286</v>
      </c>
      <c r="B146" s="21" t="s">
        <v>287</v>
      </c>
      <c r="C146" s="35">
        <f>SUMIF(SIGAF!$B$2:$B$547,$A146,SIGAF!$F$2:$F$547)</f>
        <v>5429424918</v>
      </c>
      <c r="D146" s="35">
        <f>SUMIF(SIGAF!$B$2:$B$547,$A146,SIGAF!$G$2:$G$547)</f>
        <v>5429424918</v>
      </c>
      <c r="E146" s="35">
        <f>SUMIF(SIGAF!$B$2:$B$547,$A146,SIGAF!$H$2:$H$547)</f>
        <v>32933875</v>
      </c>
      <c r="F146" s="66">
        <f t="shared" si="35"/>
        <v>6.0658127697494017E-3</v>
      </c>
      <c r="G146" s="35">
        <f>SUMIF(SIGAF!$B$2:$B$547,$A146,SIGAF!$I$2:$I$547)</f>
        <v>1071287577.52</v>
      </c>
      <c r="H146" s="66">
        <f t="shared" si="36"/>
        <v>0.1973114268452989</v>
      </c>
      <c r="I146" s="35">
        <f>SUMIF(SIGAF!$B$2:$B$547,$A146,SIGAF!$J$2:$J$547)</f>
        <v>0</v>
      </c>
      <c r="J146" s="66">
        <f t="shared" si="36"/>
        <v>0</v>
      </c>
      <c r="K146" s="35">
        <f>SUMIF(SIGAF!$B$2:$B$547,$A146,SIGAF!$K$2:$K$547)</f>
        <v>2893922785.27</v>
      </c>
      <c r="L146" s="141">
        <f t="shared" si="40"/>
        <v>0.53300723906796643</v>
      </c>
      <c r="M146" s="35">
        <f>SUMIF(SIGAF!$B$2:$B$547,$A146,SIGAF!$L$2:$L$547)</f>
        <v>1639471606.55</v>
      </c>
      <c r="N146" s="66">
        <f t="shared" si="37"/>
        <v>0.30196045277552541</v>
      </c>
      <c r="O146" s="87">
        <f>SUMIF(SIGAF!$B$2:$B$547,$A146,SIGAF!$M$2:$M$547)</f>
        <v>1431280680.21</v>
      </c>
      <c r="P146" s="66">
        <f t="shared" si="38"/>
        <v>0.26361552131698529</v>
      </c>
      <c r="Q146" s="35">
        <f>SUMIF(SIGAF!$B$2:$B$547,$A146,SIGAF!$N$2:$N$547)</f>
        <v>1431280680.21</v>
      </c>
      <c r="R146" s="66">
        <f t="shared" si="39"/>
        <v>0.26361552131698529</v>
      </c>
    </row>
    <row r="147" spans="1:18" x14ac:dyDescent="0.25">
      <c r="A147" s="11" t="s">
        <v>288</v>
      </c>
      <c r="B147" s="11" t="s">
        <v>512</v>
      </c>
      <c r="C147" s="13">
        <f>SUMIF(SIGAF!$B$2:$B$547,$A147,SIGAF!$F$2:$F$547)</f>
        <v>2172029174</v>
      </c>
      <c r="D147" s="13">
        <f>SUMIF(SIGAF!$B$2:$B$547,$A147,SIGAF!$G$2:$G$547)</f>
        <v>2172029174</v>
      </c>
      <c r="E147" s="13">
        <f>SUMIF(SIGAF!$B$2:$B$547,$A147,SIGAF!$H$2:$H$547)</f>
        <v>26433875</v>
      </c>
      <c r="F147" s="67">
        <f t="shared" si="35"/>
        <v>1.2170128889806524E-2</v>
      </c>
      <c r="G147" s="13">
        <f>SUMIF(SIGAF!$B$2:$B$547,$A147,SIGAF!$I$2:$I$547)</f>
        <v>189593358.06</v>
      </c>
      <c r="H147" s="67">
        <f t="shared" si="36"/>
        <v>8.7288587248045862E-2</v>
      </c>
      <c r="I147" s="13">
        <f>SUMIF(SIGAF!$B$2:$B$547,$A147,SIGAF!$J$2:$J$547)</f>
        <v>0</v>
      </c>
      <c r="J147" s="67">
        <f t="shared" si="36"/>
        <v>0</v>
      </c>
      <c r="K147" s="13">
        <f>SUMIF(SIGAF!$B$2:$B$547,$A147,SIGAF!$K$2:$K$547)</f>
        <v>1662819630.45</v>
      </c>
      <c r="L147" s="142">
        <f t="shared" si="40"/>
        <v>0.76556044935057588</v>
      </c>
      <c r="M147" s="13">
        <f>SUMIF(SIGAF!$B$2:$B$547,$A147,SIGAF!$L$2:$L$547)</f>
        <v>1175139044.25</v>
      </c>
      <c r="N147" s="67">
        <f t="shared" si="37"/>
        <v>0.54103280854458724</v>
      </c>
      <c r="O147" s="86">
        <f>SUMIF(SIGAF!$B$2:$B$547,$A147,SIGAF!$M$2:$M$547)</f>
        <v>293182310.49000001</v>
      </c>
      <c r="P147" s="67">
        <f t="shared" si="38"/>
        <v>0.13498083451157181</v>
      </c>
      <c r="Q147" s="13">
        <f>SUMIF(SIGAF!$B$2:$B$547,$A147,SIGAF!$N$2:$N$547)</f>
        <v>293182310.49000001</v>
      </c>
      <c r="R147" s="67">
        <f t="shared" si="39"/>
        <v>0.13498083451157181</v>
      </c>
    </row>
    <row r="148" spans="1:18" x14ac:dyDescent="0.25">
      <c r="A148" s="11" t="s">
        <v>290</v>
      </c>
      <c r="B148" s="11" t="s">
        <v>513</v>
      </c>
      <c r="C148" s="13">
        <f>SUMIF(SIGAF!$B$2:$B$547,$A148,SIGAF!$F$2:$F$547)</f>
        <v>64479380</v>
      </c>
      <c r="D148" s="13">
        <f>SUMIF(SIGAF!$B$2:$B$547,$A148,SIGAF!$G$2:$G$547)</f>
        <v>64479380</v>
      </c>
      <c r="E148" s="13">
        <f>SUMIF(SIGAF!$B$2:$B$547,$A148,SIGAF!$H$2:$H$547)</f>
        <v>0</v>
      </c>
      <c r="F148" s="67">
        <f t="shared" si="35"/>
        <v>0</v>
      </c>
      <c r="G148" s="13">
        <f>SUMIF(SIGAF!$B$2:$B$547,$A148,SIGAF!$I$2:$I$547)</f>
        <v>14669020</v>
      </c>
      <c r="H148" s="67">
        <f t="shared" si="36"/>
        <v>0.2274993959309162</v>
      </c>
      <c r="I148" s="13">
        <f>SUMIF(SIGAF!$B$2:$B$547,$A148,SIGAF!$J$2:$J$547)</f>
        <v>0</v>
      </c>
      <c r="J148" s="67">
        <f t="shared" si="36"/>
        <v>0</v>
      </c>
      <c r="K148" s="13">
        <f>SUMIF(SIGAF!$B$2:$B$547,$A148,SIGAF!$K$2:$K$547)</f>
        <v>38825581.5</v>
      </c>
      <c r="L148" s="142">
        <f t="shared" si="40"/>
        <v>0.60213949792941557</v>
      </c>
      <c r="M148" s="13">
        <f>SUMIF(SIGAF!$B$2:$B$547,$A148,SIGAF!$L$2:$L$547)</f>
        <v>35902328.700000003</v>
      </c>
      <c r="N148" s="67">
        <f t="shared" si="37"/>
        <v>0.55680325555239529</v>
      </c>
      <c r="O148" s="86">
        <f>SUMIF(SIGAF!$B$2:$B$547,$A148,SIGAF!$M$2:$M$547)</f>
        <v>10984778.5</v>
      </c>
      <c r="P148" s="67">
        <f t="shared" si="38"/>
        <v>0.17036110613966821</v>
      </c>
      <c r="Q148" s="13">
        <f>SUMIF(SIGAF!$B$2:$B$547,$A148,SIGAF!$N$2:$N$547)</f>
        <v>10984778.5</v>
      </c>
      <c r="R148" s="67">
        <f t="shared" si="39"/>
        <v>0.17036110613966821</v>
      </c>
    </row>
    <row r="149" spans="1:18" x14ac:dyDescent="0.25">
      <c r="A149" s="11" t="s">
        <v>411</v>
      </c>
      <c r="B149" s="11" t="s">
        <v>514</v>
      </c>
      <c r="C149" s="13">
        <f>SUMIF(SIGAF!$B$2:$B$547,$A149,SIGAF!$F$2:$F$547)</f>
        <v>421400000</v>
      </c>
      <c r="D149" s="13">
        <f>SUMIF(SIGAF!$B$2:$B$547,$A149,SIGAF!$G$2:$G$547)</f>
        <v>421400000</v>
      </c>
      <c r="E149" s="13">
        <f>SUMIF(SIGAF!$B$2:$B$547,$A149,SIGAF!$H$2:$H$547)</f>
        <v>0</v>
      </c>
      <c r="F149" s="67">
        <f t="shared" si="35"/>
        <v>0</v>
      </c>
      <c r="G149" s="13">
        <f>SUMIF(SIGAF!$B$2:$B$547,$A149,SIGAF!$I$2:$I$547)</f>
        <v>0</v>
      </c>
      <c r="H149" s="67">
        <f t="shared" si="36"/>
        <v>0</v>
      </c>
      <c r="I149" s="13">
        <f>SUMIF(SIGAF!$B$2:$B$547,$A149,SIGAF!$J$2:$J$547)</f>
        <v>0</v>
      </c>
      <c r="J149" s="67">
        <f t="shared" si="36"/>
        <v>0</v>
      </c>
      <c r="K149" s="13">
        <f>SUMIF(SIGAF!$B$2:$B$547,$A149,SIGAF!$K$2:$K$547)</f>
        <v>408450000</v>
      </c>
      <c r="L149" s="142">
        <f t="shared" si="40"/>
        <v>0.96926910299003322</v>
      </c>
      <c r="M149" s="13">
        <f>SUMIF(SIGAF!$B$2:$B$547,$A149,SIGAF!$L$2:$L$547)</f>
        <v>408450000</v>
      </c>
      <c r="N149" s="67">
        <f t="shared" si="37"/>
        <v>0.96926910299003322</v>
      </c>
      <c r="O149" s="86">
        <f>SUMIF(SIGAF!$B$2:$B$547,$A149,SIGAF!$M$2:$M$547)</f>
        <v>12950000</v>
      </c>
      <c r="P149" s="67">
        <f t="shared" si="38"/>
        <v>3.0730897009966777E-2</v>
      </c>
      <c r="Q149" s="13">
        <f>SUMIF(SIGAF!$B$2:$B$547,$A149,SIGAF!$N$2:$N$547)</f>
        <v>12950000</v>
      </c>
      <c r="R149" s="67">
        <f t="shared" si="39"/>
        <v>3.0730897009966777E-2</v>
      </c>
    </row>
    <row r="150" spans="1:18" x14ac:dyDescent="0.25">
      <c r="A150" s="11" t="s">
        <v>292</v>
      </c>
      <c r="B150" s="11" t="s">
        <v>515</v>
      </c>
      <c r="C150" s="13">
        <f>SUMIF(SIGAF!$B$2:$B$547,$A150,SIGAF!$F$2:$F$547)</f>
        <v>174995480.05000001</v>
      </c>
      <c r="D150" s="13">
        <f>SUMIF(SIGAF!$B$2:$B$547,$A150,SIGAF!$G$2:$G$547)</f>
        <v>174995480.05000001</v>
      </c>
      <c r="E150" s="13">
        <f>SUMIF(SIGAF!$B$2:$B$547,$A150,SIGAF!$H$2:$H$547)</f>
        <v>26433875</v>
      </c>
      <c r="F150" s="67">
        <f t="shared" si="35"/>
        <v>0.15105461576748877</v>
      </c>
      <c r="G150" s="13">
        <f>SUMIF(SIGAF!$B$2:$B$547,$A150,SIGAF!$I$2:$I$547)</f>
        <v>1016000</v>
      </c>
      <c r="H150" s="67">
        <f t="shared" si="36"/>
        <v>5.8058642412347266E-3</v>
      </c>
      <c r="I150" s="13">
        <f>SUMIF(SIGAF!$B$2:$B$547,$A150,SIGAF!$J$2:$J$547)</f>
        <v>0</v>
      </c>
      <c r="J150" s="67">
        <f t="shared" si="36"/>
        <v>0</v>
      </c>
      <c r="K150" s="13">
        <f>SUMIF(SIGAF!$B$2:$B$547,$A150,SIGAF!$K$2:$K$547)</f>
        <v>109255750.27</v>
      </c>
      <c r="L150" s="142">
        <f t="shared" si="40"/>
        <v>0.62433469846640188</v>
      </c>
      <c r="M150" s="13">
        <f>SUMIF(SIGAF!$B$2:$B$547,$A150,SIGAF!$L$2:$L$547)</f>
        <v>29577269.75</v>
      </c>
      <c r="N150" s="67">
        <f t="shared" si="37"/>
        <v>0.1690173354280301</v>
      </c>
      <c r="O150" s="86">
        <f>SUMIF(SIGAF!$B$2:$B$547,$A150,SIGAF!$M$2:$M$547)</f>
        <v>38289854.780000001</v>
      </c>
      <c r="P150" s="67">
        <f t="shared" si="38"/>
        <v>0.21880482152487457</v>
      </c>
      <c r="Q150" s="13">
        <f>SUMIF(SIGAF!$B$2:$B$547,$A150,SIGAF!$N$2:$N$547)</f>
        <v>38289854.780000001</v>
      </c>
      <c r="R150" s="67">
        <f t="shared" si="39"/>
        <v>0.21880482152487457</v>
      </c>
    </row>
    <row r="151" spans="1:18" x14ac:dyDescent="0.25">
      <c r="A151" s="11" t="s">
        <v>294</v>
      </c>
      <c r="B151" s="11" t="s">
        <v>516</v>
      </c>
      <c r="C151" s="13">
        <f>SUMIF(SIGAF!$B$2:$B$547,$A151,SIGAF!$F$2:$F$547)</f>
        <v>147369001.94999999</v>
      </c>
      <c r="D151" s="13">
        <f>SUMIF(SIGAF!$B$2:$B$547,$A151,SIGAF!$G$2:$G$547)</f>
        <v>147369001.94999999</v>
      </c>
      <c r="E151" s="13">
        <f>SUMIF(SIGAF!$B$2:$B$547,$A151,SIGAF!$H$2:$H$547)</f>
        <v>0</v>
      </c>
      <c r="F151" s="67">
        <f t="shared" si="35"/>
        <v>0</v>
      </c>
      <c r="G151" s="13">
        <f>SUMIF(SIGAF!$B$2:$B$547,$A151,SIGAF!$I$2:$I$547)</f>
        <v>16787500</v>
      </c>
      <c r="H151" s="67">
        <f t="shared" si="36"/>
        <v>0.11391472954194083</v>
      </c>
      <c r="I151" s="13">
        <f>SUMIF(SIGAF!$B$2:$B$547,$A151,SIGAF!$J$2:$J$547)</f>
        <v>0</v>
      </c>
      <c r="J151" s="67">
        <f t="shared" si="36"/>
        <v>0</v>
      </c>
      <c r="K151" s="13">
        <f>SUMIF(SIGAF!$B$2:$B$547,$A151,SIGAF!$K$2:$K$547)</f>
        <v>103867592.44</v>
      </c>
      <c r="L151" s="142">
        <f t="shared" si="40"/>
        <v>0.70481302760834774</v>
      </c>
      <c r="M151" s="13">
        <f>SUMIF(SIGAF!$B$2:$B$547,$A151,SIGAF!$L$2:$L$547)</f>
        <v>91861763.689999998</v>
      </c>
      <c r="N151" s="67">
        <f t="shared" si="37"/>
        <v>0.6233452250777084</v>
      </c>
      <c r="O151" s="86">
        <f>SUMIF(SIGAF!$B$2:$B$547,$A151,SIGAF!$M$2:$M$547)</f>
        <v>26713909.510000002</v>
      </c>
      <c r="P151" s="67">
        <f t="shared" si="38"/>
        <v>0.18127224284971147</v>
      </c>
      <c r="Q151" s="13">
        <f>SUMIF(SIGAF!$B$2:$B$547,$A151,SIGAF!$N$2:$N$547)</f>
        <v>26713909.510000002</v>
      </c>
      <c r="R151" s="67">
        <f t="shared" si="39"/>
        <v>0.18127224284971147</v>
      </c>
    </row>
    <row r="152" spans="1:18" x14ac:dyDescent="0.25">
      <c r="A152" s="11" t="s">
        <v>296</v>
      </c>
      <c r="B152" s="11" t="s">
        <v>517</v>
      </c>
      <c r="C152" s="13">
        <f>SUMIF(SIGAF!$B$2:$B$547,$A152,SIGAF!$F$2:$F$547)</f>
        <v>658919199</v>
      </c>
      <c r="D152" s="13">
        <f>SUMIF(SIGAF!$B$2:$B$547,$A152,SIGAF!$G$2:$G$547)</f>
        <v>658919199</v>
      </c>
      <c r="E152" s="13">
        <f>SUMIF(SIGAF!$B$2:$B$547,$A152,SIGAF!$H$2:$H$547)</f>
        <v>0</v>
      </c>
      <c r="F152" s="67">
        <f t="shared" si="35"/>
        <v>0</v>
      </c>
      <c r="G152" s="13">
        <f>SUMIF(SIGAF!$B$2:$B$547,$A152,SIGAF!$I$2:$I$547)</f>
        <v>26506101.100000001</v>
      </c>
      <c r="H152" s="67">
        <f t="shared" si="36"/>
        <v>4.0226633463141814E-2</v>
      </c>
      <c r="I152" s="13">
        <f>SUMIF(SIGAF!$B$2:$B$547,$A152,SIGAF!$J$2:$J$547)</f>
        <v>0</v>
      </c>
      <c r="J152" s="67">
        <f t="shared" si="36"/>
        <v>0</v>
      </c>
      <c r="K152" s="13">
        <f>SUMIF(SIGAF!$B$2:$B$547,$A152,SIGAF!$K$2:$K$547)</f>
        <v>509573845.65000004</v>
      </c>
      <c r="L152" s="142">
        <f t="shared" si="40"/>
        <v>0.77334800142923144</v>
      </c>
      <c r="M152" s="13">
        <f>SUMIF(SIGAF!$B$2:$B$547,$A152,SIGAF!$L$2:$L$547)</f>
        <v>145131387.30000001</v>
      </c>
      <c r="N152" s="67">
        <f t="shared" si="37"/>
        <v>0.2202567287768466</v>
      </c>
      <c r="O152" s="86">
        <f>SUMIF(SIGAF!$B$2:$B$547,$A152,SIGAF!$M$2:$M$547)</f>
        <v>122839252.25</v>
      </c>
      <c r="P152" s="67">
        <f t="shared" si="38"/>
        <v>0.18642536510762681</v>
      </c>
      <c r="Q152" s="13">
        <f>SUMIF(SIGAF!$B$2:$B$547,$A152,SIGAF!$N$2:$N$547)</f>
        <v>122839252.25</v>
      </c>
      <c r="R152" s="67">
        <f t="shared" si="39"/>
        <v>0.18642536510762681</v>
      </c>
    </row>
    <row r="153" spans="1:18" x14ac:dyDescent="0.25">
      <c r="A153" s="11" t="s">
        <v>298</v>
      </c>
      <c r="B153" s="11" t="s">
        <v>518</v>
      </c>
      <c r="C153" s="13">
        <f>SUMIF(SIGAF!$B$2:$B$547,$A153,SIGAF!$F$2:$F$547)</f>
        <v>61731995</v>
      </c>
      <c r="D153" s="13">
        <f>SUMIF(SIGAF!$B$2:$B$547,$A153,SIGAF!$G$2:$G$547)</f>
        <v>61731995</v>
      </c>
      <c r="E153" s="13">
        <f>SUMIF(SIGAF!$B$2:$B$547,$A153,SIGAF!$H$2:$H$547)</f>
        <v>0</v>
      </c>
      <c r="F153" s="67">
        <f t="shared" si="35"/>
        <v>0</v>
      </c>
      <c r="G153" s="13">
        <f>SUMIF(SIGAF!$B$2:$B$547,$A153,SIGAF!$I$2:$I$547)</f>
        <v>14208762.800000001</v>
      </c>
      <c r="H153" s="67">
        <f t="shared" si="36"/>
        <v>0.23016853416125627</v>
      </c>
      <c r="I153" s="13">
        <f>SUMIF(SIGAF!$B$2:$B$547,$A153,SIGAF!$J$2:$J$547)</f>
        <v>0</v>
      </c>
      <c r="J153" s="67">
        <f t="shared" si="36"/>
        <v>0</v>
      </c>
      <c r="K153" s="13">
        <f>SUMIF(SIGAF!$B$2:$B$547,$A153,SIGAF!$K$2:$K$547)</f>
        <v>42210336.879999995</v>
      </c>
      <c r="L153" s="142">
        <f t="shared" si="40"/>
        <v>0.68376758081445443</v>
      </c>
      <c r="M153" s="13">
        <f>SUMIF(SIGAF!$B$2:$B$547,$A153,SIGAF!$L$2:$L$547)</f>
        <v>39338016.879999995</v>
      </c>
      <c r="N153" s="67">
        <f t="shared" si="37"/>
        <v>0.63723871033165214</v>
      </c>
      <c r="O153" s="86">
        <f>SUMIF(SIGAF!$B$2:$B$547,$A153,SIGAF!$M$2:$M$547)</f>
        <v>5312895.32</v>
      </c>
      <c r="P153" s="67">
        <f t="shared" si="38"/>
        <v>8.6063885024289272E-2</v>
      </c>
      <c r="Q153" s="13">
        <f>SUMIF(SIGAF!$B$2:$B$547,$A153,SIGAF!$N$2:$N$547)</f>
        <v>5312895.32</v>
      </c>
      <c r="R153" s="67">
        <f t="shared" si="39"/>
        <v>8.6063885024289272E-2</v>
      </c>
    </row>
    <row r="154" spans="1:18" x14ac:dyDescent="0.25">
      <c r="A154" s="11" t="s">
        <v>300</v>
      </c>
      <c r="B154" s="11" t="s">
        <v>519</v>
      </c>
      <c r="C154" s="13">
        <f>SUMIF(SIGAF!$B$2:$B$547,$A154,SIGAF!$F$2:$F$547)</f>
        <v>5811000</v>
      </c>
      <c r="D154" s="13">
        <f>SUMIF(SIGAF!$B$2:$B$547,$A154,SIGAF!$G$2:$G$547)</f>
        <v>5811000</v>
      </c>
      <c r="E154" s="13">
        <f>SUMIF(SIGAF!$B$2:$B$547,$A154,SIGAF!$H$2:$H$547)</f>
        <v>0</v>
      </c>
      <c r="F154" s="67">
        <f t="shared" si="35"/>
        <v>0</v>
      </c>
      <c r="G154" s="13">
        <f>SUMIF(SIGAF!$B$2:$B$547,$A154,SIGAF!$I$2:$I$547)</f>
        <v>0</v>
      </c>
      <c r="H154" s="67">
        <f t="shared" si="36"/>
        <v>0</v>
      </c>
      <c r="I154" s="13">
        <f>SUMIF(SIGAF!$B$2:$B$547,$A154,SIGAF!$J$2:$J$547)</f>
        <v>0</v>
      </c>
      <c r="J154" s="67">
        <f t="shared" si="36"/>
        <v>0</v>
      </c>
      <c r="K154" s="13">
        <f>SUMIF(SIGAF!$B$2:$B$547,$A154,SIGAF!$K$2:$K$547)</f>
        <v>1369925</v>
      </c>
      <c r="L154" s="142">
        <f t="shared" si="40"/>
        <v>0.23574685940457751</v>
      </c>
      <c r="M154" s="13">
        <f>SUMIF(SIGAF!$B$2:$B$547,$A154,SIGAF!$L$2:$L$547)</f>
        <v>1369925</v>
      </c>
      <c r="N154" s="67">
        <f t="shared" si="37"/>
        <v>0.23574685940457751</v>
      </c>
      <c r="O154" s="86">
        <f>SUMIF(SIGAF!$B$2:$B$547,$A154,SIGAF!$M$2:$M$547)</f>
        <v>4441075</v>
      </c>
      <c r="P154" s="67">
        <f t="shared" si="38"/>
        <v>0.76425314059542249</v>
      </c>
      <c r="Q154" s="13">
        <f>SUMIF(SIGAF!$B$2:$B$547,$A154,SIGAF!$N$2:$N$547)</f>
        <v>4441075</v>
      </c>
      <c r="R154" s="67">
        <f t="shared" si="39"/>
        <v>0.76425314059542249</v>
      </c>
    </row>
    <row r="155" spans="1:18" x14ac:dyDescent="0.25">
      <c r="A155" s="11" t="s">
        <v>302</v>
      </c>
      <c r="B155" s="11" t="s">
        <v>520</v>
      </c>
      <c r="C155" s="13">
        <f>SUMIF(SIGAF!$B$2:$B$547,$A155,SIGAF!$F$2:$F$547)</f>
        <v>637323118</v>
      </c>
      <c r="D155" s="13">
        <f>SUMIF(SIGAF!$B$2:$B$547,$A155,SIGAF!$G$2:$G$547)</f>
        <v>637323118</v>
      </c>
      <c r="E155" s="13">
        <f>SUMIF(SIGAF!$B$2:$B$547,$A155,SIGAF!$H$2:$H$547)</f>
        <v>0</v>
      </c>
      <c r="F155" s="67">
        <f t="shared" si="35"/>
        <v>0</v>
      </c>
      <c r="G155" s="13">
        <f>SUMIF(SIGAF!$B$2:$B$547,$A155,SIGAF!$I$2:$I$547)</f>
        <v>116405974.16</v>
      </c>
      <c r="H155" s="67">
        <f t="shared" si="36"/>
        <v>0.18264828447663498</v>
      </c>
      <c r="I155" s="13">
        <f>SUMIF(SIGAF!$B$2:$B$547,$A155,SIGAF!$J$2:$J$547)</f>
        <v>0</v>
      </c>
      <c r="J155" s="67">
        <f t="shared" si="36"/>
        <v>0</v>
      </c>
      <c r="K155" s="13">
        <f>SUMIF(SIGAF!$B$2:$B$547,$A155,SIGAF!$K$2:$K$547)</f>
        <v>449266598.70999998</v>
      </c>
      <c r="L155" s="142">
        <f t="shared" si="40"/>
        <v>0.70492751011426513</v>
      </c>
      <c r="M155" s="13">
        <f>SUMIF(SIGAF!$B$2:$B$547,$A155,SIGAF!$L$2:$L$547)</f>
        <v>423508352.93000001</v>
      </c>
      <c r="N155" s="67">
        <f t="shared" si="37"/>
        <v>0.6645112047073114</v>
      </c>
      <c r="O155" s="86">
        <f>SUMIF(SIGAF!$B$2:$B$547,$A155,SIGAF!$M$2:$M$547)</f>
        <v>71650545.129999995</v>
      </c>
      <c r="P155" s="67">
        <f t="shared" si="38"/>
        <v>0.11242420540909986</v>
      </c>
      <c r="Q155" s="13">
        <f>SUMIF(SIGAF!$B$2:$B$547,$A155,SIGAF!$N$2:$N$547)</f>
        <v>71650545.129999995</v>
      </c>
      <c r="R155" s="67">
        <f t="shared" si="39"/>
        <v>0.11242420540909986</v>
      </c>
    </row>
    <row r="156" spans="1:18" x14ac:dyDescent="0.25">
      <c r="A156" s="11" t="s">
        <v>304</v>
      </c>
      <c r="B156" s="11" t="s">
        <v>521</v>
      </c>
      <c r="C156" s="13">
        <f>SUMIF(SIGAF!$B$2:$B$547,$A156,SIGAF!$F$2:$F$547)</f>
        <v>2891828160</v>
      </c>
      <c r="D156" s="13">
        <f>SUMIF(SIGAF!$B$2:$B$547,$A156,SIGAF!$G$2:$G$547)</f>
        <v>2891828160</v>
      </c>
      <c r="E156" s="13">
        <f>SUMIF(SIGAF!$B$2:$B$547,$A156,SIGAF!$H$2:$H$547)</f>
        <v>6500000</v>
      </c>
      <c r="F156" s="67">
        <f t="shared" si="35"/>
        <v>2.2477130867969695E-3</v>
      </c>
      <c r="G156" s="13">
        <f>SUMIF(SIGAF!$B$2:$B$547,$A156,SIGAF!$I$2:$I$547)</f>
        <v>880873922.63999999</v>
      </c>
      <c r="H156" s="67">
        <f t="shared" si="36"/>
        <v>0.30460797595940142</v>
      </c>
      <c r="I156" s="13">
        <f>SUMIF(SIGAF!$B$2:$B$547,$A156,SIGAF!$J$2:$J$547)</f>
        <v>0</v>
      </c>
      <c r="J156" s="67">
        <f t="shared" si="36"/>
        <v>0</v>
      </c>
      <c r="K156" s="13">
        <f>SUMIF(SIGAF!$B$2:$B$547,$A156,SIGAF!$K$2:$K$547)</f>
        <v>1034677297.42</v>
      </c>
      <c r="L156" s="142">
        <f t="shared" si="40"/>
        <v>0.35779349261886984</v>
      </c>
      <c r="M156" s="13">
        <f>SUMIF(SIGAF!$B$2:$B$547,$A156,SIGAF!$L$2:$L$547)</f>
        <v>437648464.71999997</v>
      </c>
      <c r="N156" s="67">
        <f t="shared" si="37"/>
        <v>0.15133972024119163</v>
      </c>
      <c r="O156" s="86">
        <f>SUMIF(SIGAF!$B$2:$B$547,$A156,SIGAF!$M$2:$M$547)</f>
        <v>969776939.94000006</v>
      </c>
      <c r="P156" s="67">
        <f t="shared" si="38"/>
        <v>0.3353508183349318</v>
      </c>
      <c r="Q156" s="13">
        <f>SUMIF(SIGAF!$B$2:$B$547,$A156,SIGAF!$N$2:$N$547)</f>
        <v>969776939.94000006</v>
      </c>
      <c r="R156" s="67">
        <f t="shared" si="39"/>
        <v>0.3353508183349318</v>
      </c>
    </row>
    <row r="157" spans="1:18" x14ac:dyDescent="0.25">
      <c r="A157" s="11" t="s">
        <v>306</v>
      </c>
      <c r="B157" s="11" t="s">
        <v>307</v>
      </c>
      <c r="C157" s="13">
        <f>SUMIF(SIGAF!$B$2:$B$547,$A157,SIGAF!$F$2:$F$547)</f>
        <v>2828343800</v>
      </c>
      <c r="D157" s="13">
        <f>SUMIF(SIGAF!$B$2:$B$547,$A157,SIGAF!$G$2:$G$547)</f>
        <v>2828343800</v>
      </c>
      <c r="E157" s="13">
        <f>SUMIF(SIGAF!$B$2:$B$547,$A157,SIGAF!$H$2:$H$547)</f>
        <v>6500000</v>
      </c>
      <c r="F157" s="67">
        <f t="shared" si="35"/>
        <v>2.2981647422070824E-3</v>
      </c>
      <c r="G157" s="13">
        <f>SUMIF(SIGAF!$B$2:$B$547,$A157,SIGAF!$I$2:$I$547)</f>
        <v>880199922.63999999</v>
      </c>
      <c r="H157" s="67">
        <f t="shared" si="36"/>
        <v>0.31120683512379221</v>
      </c>
      <c r="I157" s="13">
        <f>SUMIF(SIGAF!$B$2:$B$547,$A157,SIGAF!$J$2:$J$547)</f>
        <v>0</v>
      </c>
      <c r="J157" s="67">
        <f t="shared" si="36"/>
        <v>0</v>
      </c>
      <c r="K157" s="13">
        <f>SUMIF(SIGAF!$B$2:$B$547,$A157,SIGAF!$K$2:$K$547)</f>
        <v>974716734.41999996</v>
      </c>
      <c r="L157" s="142">
        <f t="shared" si="40"/>
        <v>0.34462455887434901</v>
      </c>
      <c r="M157" s="13">
        <f>SUMIF(SIGAF!$B$2:$B$547,$A157,SIGAF!$L$2:$L$547)</f>
        <v>378361901.71999997</v>
      </c>
      <c r="N157" s="67">
        <f t="shared" si="37"/>
        <v>0.13377507420420387</v>
      </c>
      <c r="O157" s="86">
        <f>SUMIF(SIGAF!$B$2:$B$547,$A157,SIGAF!$M$2:$M$547)</f>
        <v>966927142.94000006</v>
      </c>
      <c r="P157" s="67">
        <f t="shared" si="38"/>
        <v>0.34187044125965171</v>
      </c>
      <c r="Q157" s="13">
        <f>SUMIF(SIGAF!$B$2:$B$547,$A157,SIGAF!$N$2:$N$547)</f>
        <v>966927142.94000006</v>
      </c>
      <c r="R157" s="67">
        <f t="shared" si="39"/>
        <v>0.34187044125965171</v>
      </c>
    </row>
    <row r="158" spans="1:18" x14ac:dyDescent="0.25">
      <c r="A158" s="11" t="s">
        <v>379</v>
      </c>
      <c r="B158" s="11" t="s">
        <v>380</v>
      </c>
      <c r="C158" s="13">
        <f>SUMIF(SIGAF!$B$2:$B$547,$A158,SIGAF!$F$2:$F$547)</f>
        <v>63484360</v>
      </c>
      <c r="D158" s="13">
        <f>SUMIF(SIGAF!$B$2:$B$547,$A158,SIGAF!$G$2:$G$547)</f>
        <v>63484360</v>
      </c>
      <c r="E158" s="13">
        <f>SUMIF(SIGAF!$B$2:$B$547,$A158,SIGAF!$H$2:$H$547)</f>
        <v>0</v>
      </c>
      <c r="F158" s="67">
        <f t="shared" si="35"/>
        <v>0</v>
      </c>
      <c r="G158" s="13">
        <f>SUMIF(SIGAF!$B$2:$B$547,$A158,SIGAF!$I$2:$I$547)</f>
        <v>674000</v>
      </c>
      <c r="H158" s="67">
        <f t="shared" si="36"/>
        <v>1.0616788134904407E-2</v>
      </c>
      <c r="I158" s="13">
        <f>SUMIF(SIGAF!$B$2:$B$547,$A158,SIGAF!$J$2:$J$547)</f>
        <v>0</v>
      </c>
      <c r="J158" s="67">
        <f t="shared" si="36"/>
        <v>0</v>
      </c>
      <c r="K158" s="13">
        <f>SUMIF(SIGAF!$B$2:$B$547,$A158,SIGAF!$K$2:$K$547)</f>
        <v>59960563</v>
      </c>
      <c r="L158" s="142">
        <f t="shared" si="40"/>
        <v>0.94449346264182232</v>
      </c>
      <c r="M158" s="13">
        <f>SUMIF(SIGAF!$B$2:$B$547,$A158,SIGAF!$L$2:$L$547)</f>
        <v>59286563</v>
      </c>
      <c r="N158" s="67">
        <f t="shared" si="37"/>
        <v>0.93387667450691791</v>
      </c>
      <c r="O158" s="86">
        <f>SUMIF(SIGAF!$B$2:$B$547,$A158,SIGAF!$M$2:$M$547)</f>
        <v>2849797</v>
      </c>
      <c r="P158" s="67">
        <f t="shared" si="38"/>
        <v>4.4889749223273261E-2</v>
      </c>
      <c r="Q158" s="13">
        <f>SUMIF(SIGAF!$B$2:$B$547,$A158,SIGAF!$N$2:$N$547)</f>
        <v>2849797</v>
      </c>
      <c r="R158" s="67">
        <f t="shared" si="39"/>
        <v>4.4889749223273261E-2</v>
      </c>
    </row>
    <row r="159" spans="1:18" x14ac:dyDescent="0.25">
      <c r="A159" s="11" t="s">
        <v>350</v>
      </c>
      <c r="B159" s="11" t="s">
        <v>522</v>
      </c>
      <c r="C159" s="13">
        <f>SUMIF(SIGAF!$B$2:$B$547,$A159,SIGAF!$F$2:$F$547)</f>
        <v>365567584</v>
      </c>
      <c r="D159" s="13">
        <f>SUMIF(SIGAF!$B$2:$B$547,$A159,SIGAF!$G$2:$G$547)</f>
        <v>365567584</v>
      </c>
      <c r="E159" s="13">
        <f>SUMIF(SIGAF!$B$2:$B$547,$A159,SIGAF!$H$2:$H$547)</f>
        <v>0</v>
      </c>
      <c r="F159" s="67">
        <f t="shared" si="35"/>
        <v>0</v>
      </c>
      <c r="G159" s="13">
        <f>SUMIF(SIGAF!$B$2:$B$547,$A159,SIGAF!$I$2:$I$547)</f>
        <v>820296.82</v>
      </c>
      <c r="H159" s="67">
        <f t="shared" si="36"/>
        <v>2.2438992293145991E-3</v>
      </c>
      <c r="I159" s="13">
        <f>SUMIF(SIGAF!$B$2:$B$547,$A159,SIGAF!$J$2:$J$547)</f>
        <v>0</v>
      </c>
      <c r="J159" s="67">
        <f t="shared" si="36"/>
        <v>0</v>
      </c>
      <c r="K159" s="13">
        <f>SUMIF(SIGAF!$B$2:$B$547,$A159,SIGAF!$K$2:$K$547)</f>
        <v>196425857.39999998</v>
      </c>
      <c r="L159" s="142">
        <f t="shared" si="40"/>
        <v>0.53731749202358159</v>
      </c>
      <c r="M159" s="13">
        <f>SUMIF(SIGAF!$B$2:$B$547,$A159,SIGAF!$L$2:$L$547)</f>
        <v>26684097.579999998</v>
      </c>
      <c r="N159" s="67">
        <f t="shared" si="37"/>
        <v>7.2993609794461414E-2</v>
      </c>
      <c r="O159" s="86">
        <f>SUMIF(SIGAF!$B$2:$B$547,$A159,SIGAF!$M$2:$M$547)</f>
        <v>168321429.78</v>
      </c>
      <c r="P159" s="67">
        <f t="shared" si="38"/>
        <v>0.46043860874710379</v>
      </c>
      <c r="Q159" s="13">
        <f>SUMIF(SIGAF!$B$2:$B$547,$A159,SIGAF!$N$2:$N$547)</f>
        <v>168321429.78</v>
      </c>
      <c r="R159" s="67">
        <f t="shared" si="39"/>
        <v>0.46043860874710379</v>
      </c>
    </row>
    <row r="160" spans="1:18" x14ac:dyDescent="0.25">
      <c r="A160" s="11" t="s">
        <v>352</v>
      </c>
      <c r="B160" s="11" t="s">
        <v>353</v>
      </c>
      <c r="C160" s="13">
        <f>SUMIF(SIGAF!$B$2:$B$547,$A160,SIGAF!$F$2:$F$547)</f>
        <v>365567584</v>
      </c>
      <c r="D160" s="13">
        <f>SUMIF(SIGAF!$B$2:$B$547,$A160,SIGAF!$G$2:$G$547)</f>
        <v>365567584</v>
      </c>
      <c r="E160" s="13">
        <f>SUMIF(SIGAF!$B$2:$B$547,$A160,SIGAF!$H$2:$H$547)</f>
        <v>0</v>
      </c>
      <c r="F160" s="67">
        <f t="shared" si="35"/>
        <v>0</v>
      </c>
      <c r="G160" s="13">
        <f>SUMIF(SIGAF!$B$2:$B$547,$A160,SIGAF!$I$2:$I$547)</f>
        <v>820296.82</v>
      </c>
      <c r="H160" s="67">
        <f t="shared" si="36"/>
        <v>2.2438992293145991E-3</v>
      </c>
      <c r="I160" s="13">
        <f>SUMIF(SIGAF!$B$2:$B$547,$A160,SIGAF!$J$2:$J$547)</f>
        <v>0</v>
      </c>
      <c r="J160" s="67">
        <f t="shared" si="36"/>
        <v>0</v>
      </c>
      <c r="K160" s="13">
        <f>SUMIF(SIGAF!$B$2:$B$547,$A160,SIGAF!$K$2:$K$547)</f>
        <v>196425857.39999998</v>
      </c>
      <c r="L160" s="142">
        <f t="shared" si="40"/>
        <v>0.53731749202358159</v>
      </c>
      <c r="M160" s="13">
        <f>SUMIF(SIGAF!$B$2:$B$547,$A160,SIGAF!$L$2:$L$547)</f>
        <v>26684097.579999998</v>
      </c>
      <c r="N160" s="67">
        <f t="shared" si="37"/>
        <v>7.2993609794461414E-2</v>
      </c>
      <c r="O160" s="86">
        <f>SUMIF(SIGAF!$B$2:$B$547,$A160,SIGAF!$M$2:$M$547)</f>
        <v>168321429.78</v>
      </c>
      <c r="P160" s="67">
        <f t="shared" si="38"/>
        <v>0.46043860874710379</v>
      </c>
      <c r="Q160" s="13">
        <f>SUMIF(SIGAF!$B$2:$B$547,$A160,SIGAF!$N$2:$N$547)</f>
        <v>168321429.78</v>
      </c>
      <c r="R160" s="67">
        <f t="shared" si="39"/>
        <v>0.46043860874710379</v>
      </c>
    </row>
    <row r="161" spans="1:18" s="23" customFormat="1" x14ac:dyDescent="0.25">
      <c r="A161" s="21" t="s">
        <v>256</v>
      </c>
      <c r="B161" s="21" t="s">
        <v>523</v>
      </c>
      <c r="C161" s="35">
        <f>+C162+C179+C181+C184+C187</f>
        <v>3621508798.0100002</v>
      </c>
      <c r="D161" s="35">
        <f t="shared" ref="D161:G161" si="41">+D162+D179+D181+D184+D187</f>
        <v>3621508798.0100002</v>
      </c>
      <c r="E161" s="35">
        <f t="shared" si="41"/>
        <v>0</v>
      </c>
      <c r="F161" s="66">
        <f t="shared" si="35"/>
        <v>0</v>
      </c>
      <c r="G161" s="35">
        <f t="shared" si="41"/>
        <v>148548737.99000001</v>
      </c>
      <c r="H161" s="66">
        <f t="shared" si="36"/>
        <v>4.1018466687593513E-2</v>
      </c>
      <c r="I161" s="35">
        <f t="shared" ref="I161" si="42">+I162+I179+I181+I184+I187</f>
        <v>0</v>
      </c>
      <c r="J161" s="66">
        <f t="shared" si="36"/>
        <v>0</v>
      </c>
      <c r="K161" s="35">
        <f t="shared" ref="K161:Q161" si="43">+K162+K179+K181+K184+K187</f>
        <v>3103792829.48</v>
      </c>
      <c r="L161" s="141">
        <f t="shared" si="40"/>
        <v>0.85704412237946725</v>
      </c>
      <c r="M161" s="35">
        <f t="shared" si="43"/>
        <v>3101694003.0100002</v>
      </c>
      <c r="N161" s="66">
        <f t="shared" si="37"/>
        <v>0.85646457761316619</v>
      </c>
      <c r="O161" s="35">
        <f t="shared" si="43"/>
        <v>369167230.54000002</v>
      </c>
      <c r="P161" s="66">
        <f t="shared" si="38"/>
        <v>0.10193741093293918</v>
      </c>
      <c r="Q161" s="35">
        <f t="shared" si="43"/>
        <v>369167230.54000002</v>
      </c>
      <c r="R161" s="66">
        <f t="shared" si="39"/>
        <v>0.10193741093293918</v>
      </c>
    </row>
    <row r="162" spans="1:18" x14ac:dyDescent="0.25">
      <c r="A162" s="11" t="s">
        <v>258</v>
      </c>
      <c r="B162" s="11" t="s">
        <v>524</v>
      </c>
      <c r="C162" s="13">
        <f>SUMIF(SIGAF!$B$2:$B$547,$A162,SIGAF!$F$2:$F$547)</f>
        <v>1169518300.6700001</v>
      </c>
      <c r="D162" s="13">
        <f>SUMIF(SIGAF!$B$2:$B$547,$A162,SIGAF!$G$2:$G$547)</f>
        <v>1169518300.6700001</v>
      </c>
      <c r="E162" s="13">
        <f>SUMIF(SIGAF!$B$2:$B$547,$A162,SIGAF!$H$2:$H$547)</f>
        <v>0</v>
      </c>
      <c r="F162" s="67">
        <f t="shared" si="35"/>
        <v>0</v>
      </c>
      <c r="G162" s="13">
        <f>SUMIF(SIGAF!$B$2:$B$547,$A162,SIGAF!$I$2:$I$547)</f>
        <v>0</v>
      </c>
      <c r="H162" s="67">
        <f t="shared" si="36"/>
        <v>0</v>
      </c>
      <c r="I162" s="13">
        <f>SUMIF(SIGAF!$B$2:$B$547,$A162,SIGAF!$J$2:$J$547)</f>
        <v>0</v>
      </c>
      <c r="J162" s="67">
        <f t="shared" si="36"/>
        <v>0</v>
      </c>
      <c r="K162" s="13">
        <f>SUMIF(SIGAF!$B$2:$B$547,$A162,SIGAF!$K$2:$K$547)</f>
        <v>995271304.96000004</v>
      </c>
      <c r="L162" s="142">
        <f t="shared" si="40"/>
        <v>0.85100960317578911</v>
      </c>
      <c r="M162" s="13">
        <f>SUMIF(SIGAF!$B$2:$B$547,$A162,SIGAF!$L$2:$L$547)</f>
        <v>995271304.96000004</v>
      </c>
      <c r="N162" s="67">
        <f t="shared" si="37"/>
        <v>0.85100960317578911</v>
      </c>
      <c r="O162" s="86">
        <f>SUMIF(SIGAF!$B$2:$B$547,$A162,SIGAF!$M$2:$M$547)</f>
        <v>174246995.71000001</v>
      </c>
      <c r="P162" s="67">
        <f t="shared" si="38"/>
        <v>0.14899039682421081</v>
      </c>
      <c r="Q162" s="13">
        <f>SUMIF(SIGAF!$B$2:$B$547,$A162,SIGAF!$N$2:$N$547)</f>
        <v>174246995.71000001</v>
      </c>
      <c r="R162" s="67">
        <f t="shared" si="39"/>
        <v>0.14899039682421081</v>
      </c>
    </row>
    <row r="163" spans="1:18" x14ac:dyDescent="0.25">
      <c r="A163" s="11" t="s">
        <v>412</v>
      </c>
      <c r="B163" s="11" t="s">
        <v>525</v>
      </c>
      <c r="C163" s="13">
        <f>SUM(C164:C167)</f>
        <v>606798220</v>
      </c>
      <c r="D163" s="13">
        <f t="shared" ref="D163:G163" si="44">SUM(D164:D167)</f>
        <v>606798220</v>
      </c>
      <c r="E163" s="13">
        <f t="shared" si="44"/>
        <v>0</v>
      </c>
      <c r="F163" s="67">
        <f t="shared" si="35"/>
        <v>0</v>
      </c>
      <c r="G163" s="13">
        <f t="shared" si="44"/>
        <v>0</v>
      </c>
      <c r="H163" s="67">
        <f t="shared" si="36"/>
        <v>0</v>
      </c>
      <c r="I163" s="13">
        <f t="shared" ref="I163" si="45">SUM(I164:I167)</f>
        <v>0</v>
      </c>
      <c r="J163" s="67">
        <f t="shared" si="36"/>
        <v>0</v>
      </c>
      <c r="K163" s="13">
        <f t="shared" ref="K163:Q163" si="46">SUM(K164:K167)</f>
        <v>464534835</v>
      </c>
      <c r="L163" s="142">
        <f t="shared" si="40"/>
        <v>0.76555075425237729</v>
      </c>
      <c r="M163" s="13">
        <f t="shared" si="46"/>
        <v>464534835</v>
      </c>
      <c r="N163" s="67">
        <f t="shared" si="37"/>
        <v>0.76555075425237729</v>
      </c>
      <c r="O163" s="13">
        <f t="shared" si="46"/>
        <v>142263385</v>
      </c>
      <c r="P163" s="67">
        <f t="shared" si="38"/>
        <v>0.23444924574762266</v>
      </c>
      <c r="Q163" s="13">
        <f t="shared" si="46"/>
        <v>142263385</v>
      </c>
      <c r="R163" s="67">
        <f t="shared" si="39"/>
        <v>0.23444924574762266</v>
      </c>
    </row>
    <row r="164" spans="1:18" x14ac:dyDescent="0.25">
      <c r="A164" s="11" t="s">
        <v>260</v>
      </c>
      <c r="B164" s="11" t="s">
        <v>526</v>
      </c>
      <c r="C164" s="13">
        <f>SUMIF(SIGAF!$B$2:$B$547,$A164,SIGAF!$F$2:$F$547)</f>
        <v>2000000</v>
      </c>
      <c r="D164" s="13">
        <f>SUMIF(SIGAF!$B$2:$B$547,$A164,SIGAF!$G$2:$G$547)</f>
        <v>2000000</v>
      </c>
      <c r="E164" s="13">
        <f>SUMIF(SIGAF!$B$2:$B$547,$A164,SIGAF!$H$2:$H$547)</f>
        <v>0</v>
      </c>
      <c r="F164" s="67">
        <f t="shared" si="35"/>
        <v>0</v>
      </c>
      <c r="G164" s="13">
        <f>SUMIF(SIGAF!$B$2:$B$547,$A164,SIGAF!$I$2:$I$547)</f>
        <v>0</v>
      </c>
      <c r="H164" s="67">
        <f t="shared" si="36"/>
        <v>0</v>
      </c>
      <c r="I164" s="13">
        <f>SUMIF(SIGAF!$B$2:$B$547,$A164,SIGAF!$J$2:$J$547)</f>
        <v>0</v>
      </c>
      <c r="J164" s="67">
        <f t="shared" si="36"/>
        <v>0</v>
      </c>
      <c r="K164" s="13">
        <f>SUMIF(SIGAF!$B$2:$B$547,$A164,SIGAF!$K$2:$K$547)</f>
        <v>2000000</v>
      </c>
      <c r="L164" s="142">
        <f t="shared" si="40"/>
        <v>1</v>
      </c>
      <c r="M164" s="13">
        <f>SUMIF(SIGAF!$B$2:$B$547,$A164,SIGAF!$L$2:$L$547)</f>
        <v>2000000</v>
      </c>
      <c r="N164" s="67">
        <f t="shared" si="37"/>
        <v>1</v>
      </c>
      <c r="O164" s="86">
        <f>SUMIF(SIGAF!$B$2:$B$547,$A164,SIGAF!$M$2:$M$547)</f>
        <v>0</v>
      </c>
      <c r="P164" s="67">
        <f t="shared" si="38"/>
        <v>0</v>
      </c>
      <c r="Q164" s="13">
        <f>SUMIF(SIGAF!$B$2:$B$547,$A164,SIGAF!$N$2:$N$547)</f>
        <v>0</v>
      </c>
      <c r="R164" s="67">
        <f t="shared" si="39"/>
        <v>0</v>
      </c>
    </row>
    <row r="165" spans="1:18" x14ac:dyDescent="0.25">
      <c r="A165" s="11" t="s">
        <v>381</v>
      </c>
      <c r="B165" s="11" t="s">
        <v>527</v>
      </c>
      <c r="C165" s="13">
        <f>SUMIF(SIGAF!$B$2:$B$547,$A165,SIGAF!$F$2:$F$547)</f>
        <v>179500000</v>
      </c>
      <c r="D165" s="13">
        <f>SUMIF(SIGAF!$B$2:$B$547,$A165,SIGAF!$G$2:$G$547)</f>
        <v>179500000</v>
      </c>
      <c r="E165" s="13">
        <f>SUMIF(SIGAF!$B$2:$B$547,$A165,SIGAF!$H$2:$H$547)</f>
        <v>0</v>
      </c>
      <c r="F165" s="67">
        <f t="shared" si="35"/>
        <v>0</v>
      </c>
      <c r="G165" s="13">
        <f>SUMIF(SIGAF!$B$2:$B$547,$A165,SIGAF!$I$2:$I$547)</f>
        <v>0</v>
      </c>
      <c r="H165" s="67">
        <f t="shared" si="36"/>
        <v>0</v>
      </c>
      <c r="I165" s="13">
        <f>SUMIF(SIGAF!$B$2:$B$547,$A165,SIGAF!$J$2:$J$547)</f>
        <v>0</v>
      </c>
      <c r="J165" s="67">
        <f t="shared" si="36"/>
        <v>0</v>
      </c>
      <c r="K165" s="13">
        <f>SUMIF(SIGAF!$B$2:$B$547,$A165,SIGAF!$K$2:$K$547)</f>
        <v>84236615</v>
      </c>
      <c r="L165" s="142">
        <f t="shared" si="40"/>
        <v>0.46928476323119778</v>
      </c>
      <c r="M165" s="13">
        <f>SUMIF(SIGAF!$B$2:$B$547,$A165,SIGAF!$L$2:$L$547)</f>
        <v>84236615</v>
      </c>
      <c r="N165" s="67">
        <f t="shared" si="37"/>
        <v>0.46928476323119778</v>
      </c>
      <c r="O165" s="86">
        <f>SUMIF(SIGAF!$B$2:$B$547,$A165,SIGAF!$M$2:$M$547)</f>
        <v>95263385</v>
      </c>
      <c r="P165" s="67">
        <f t="shared" si="38"/>
        <v>0.53071523676880228</v>
      </c>
      <c r="Q165" s="13">
        <f>SUMIF(SIGAF!$B$2:$B$547,$A165,SIGAF!$N$2:$N$547)</f>
        <v>95263385</v>
      </c>
      <c r="R165" s="67">
        <f t="shared" si="39"/>
        <v>0.53071523676880228</v>
      </c>
    </row>
    <row r="166" spans="1:18" x14ac:dyDescent="0.25">
      <c r="A166" s="11" t="s">
        <v>413</v>
      </c>
      <c r="B166" s="11" t="s">
        <v>528</v>
      </c>
      <c r="C166" s="13">
        <f>SUMIF(SIGAF!$B$2:$B$547,$A166,SIGAF!$F$2:$F$547)</f>
        <v>47000000</v>
      </c>
      <c r="D166" s="13">
        <f>SUMIF(SIGAF!$B$2:$B$547,$A166,SIGAF!$G$2:$G$547)</f>
        <v>47000000</v>
      </c>
      <c r="E166" s="13">
        <f>SUMIF(SIGAF!$B$2:$B$547,$A166,SIGAF!$H$2:$H$547)</f>
        <v>0</v>
      </c>
      <c r="F166" s="67">
        <f t="shared" si="35"/>
        <v>0</v>
      </c>
      <c r="G166" s="13">
        <f>SUMIF(SIGAF!$B$2:$B$547,$A166,SIGAF!$I$2:$I$547)</f>
        <v>0</v>
      </c>
      <c r="H166" s="67">
        <f t="shared" si="36"/>
        <v>0</v>
      </c>
      <c r="I166" s="13">
        <f>SUMIF(SIGAF!$B$2:$B$547,$A166,SIGAF!$J$2:$J$547)</f>
        <v>0</v>
      </c>
      <c r="J166" s="67">
        <f t="shared" si="36"/>
        <v>0</v>
      </c>
      <c r="K166" s="13">
        <f>SUMIF(SIGAF!$B$2:$B$547,$A166,SIGAF!$K$2:$K$547)</f>
        <v>0</v>
      </c>
      <c r="L166" s="142">
        <f t="shared" si="40"/>
        <v>0</v>
      </c>
      <c r="M166" s="13">
        <f>SUMIF(SIGAF!$B$2:$B$547,$A166,SIGAF!$L$2:$L$547)</f>
        <v>0</v>
      </c>
      <c r="N166" s="67">
        <f t="shared" si="37"/>
        <v>0</v>
      </c>
      <c r="O166" s="86">
        <f>SUMIF(SIGAF!$B$2:$B$547,$A166,SIGAF!$M$2:$M$547)</f>
        <v>47000000</v>
      </c>
      <c r="P166" s="67">
        <f t="shared" si="38"/>
        <v>1</v>
      </c>
      <c r="Q166" s="13">
        <f>SUMIF(SIGAF!$B$2:$B$547,$A166,SIGAF!$N$2:$N$547)</f>
        <v>47000000</v>
      </c>
      <c r="R166" s="67">
        <f t="shared" si="39"/>
        <v>1</v>
      </c>
    </row>
    <row r="167" spans="1:18" x14ac:dyDescent="0.25">
      <c r="A167" s="11" t="s">
        <v>262</v>
      </c>
      <c r="B167" s="11" t="s">
        <v>529</v>
      </c>
      <c r="C167" s="13">
        <f>SUMIF(SIGAF!$B$2:$B$547,$A167,SIGAF!$F$2:$F$547)</f>
        <v>378298220</v>
      </c>
      <c r="D167" s="13">
        <f>SUMIF(SIGAF!$B$2:$B$547,$A167,SIGAF!$G$2:$G$547)</f>
        <v>378298220</v>
      </c>
      <c r="E167" s="13">
        <f>SUMIF(SIGAF!$B$2:$B$547,$A167,SIGAF!$H$2:$H$547)</f>
        <v>0</v>
      </c>
      <c r="F167" s="67">
        <f t="shared" si="35"/>
        <v>0</v>
      </c>
      <c r="G167" s="13">
        <f>SUMIF(SIGAF!$B$2:$B$547,$A167,SIGAF!$I$2:$I$547)</f>
        <v>0</v>
      </c>
      <c r="H167" s="67">
        <f t="shared" si="36"/>
        <v>0</v>
      </c>
      <c r="I167" s="13">
        <f>SUMIF(SIGAF!$B$2:$B$547,$A167,SIGAF!$J$2:$J$547)</f>
        <v>0</v>
      </c>
      <c r="J167" s="67">
        <f t="shared" si="36"/>
        <v>0</v>
      </c>
      <c r="K167" s="13">
        <f>SUMIF(SIGAF!$B$2:$B$547,$A167,SIGAF!$K$2:$K$547)</f>
        <v>378298220</v>
      </c>
      <c r="L167" s="142">
        <f t="shared" si="40"/>
        <v>1</v>
      </c>
      <c r="M167" s="13">
        <f>SUMIF(SIGAF!$B$2:$B$547,$A167,SIGAF!$L$2:$L$547)</f>
        <v>378298220</v>
      </c>
      <c r="N167" s="67">
        <f t="shared" si="37"/>
        <v>1</v>
      </c>
      <c r="O167" s="86">
        <f>SUMIF(SIGAF!$B$2:$B$547,$A167,SIGAF!$M$2:$M$547)</f>
        <v>0</v>
      </c>
      <c r="P167" s="67">
        <f t="shared" si="38"/>
        <v>0</v>
      </c>
      <c r="Q167" s="13">
        <f>SUMIF(SIGAF!$B$2:$B$547,$A167,SIGAF!$N$2:$N$547)</f>
        <v>0</v>
      </c>
      <c r="R167" s="67">
        <f t="shared" si="39"/>
        <v>0</v>
      </c>
    </row>
    <row r="168" spans="1:18" x14ac:dyDescent="0.25">
      <c r="A168" s="11" t="s">
        <v>414</v>
      </c>
      <c r="B168" s="11" t="s">
        <v>530</v>
      </c>
      <c r="C168" s="13">
        <f>SUM(C169:C178)</f>
        <v>562720080.66999996</v>
      </c>
      <c r="D168" s="13">
        <f t="shared" ref="D168:G168" si="47">SUM(D169:D178)</f>
        <v>562720080.66999996</v>
      </c>
      <c r="E168" s="13">
        <f t="shared" si="47"/>
        <v>0</v>
      </c>
      <c r="F168" s="67">
        <f t="shared" si="35"/>
        <v>0</v>
      </c>
      <c r="G168" s="13">
        <f t="shared" si="47"/>
        <v>0</v>
      </c>
      <c r="H168" s="67">
        <f t="shared" si="36"/>
        <v>0</v>
      </c>
      <c r="I168" s="13">
        <f t="shared" ref="I168" si="48">SUM(I169:I178)</f>
        <v>0</v>
      </c>
      <c r="J168" s="67">
        <f t="shared" si="36"/>
        <v>0</v>
      </c>
      <c r="K168" s="13">
        <f t="shared" ref="K168:Q168" si="49">SUM(K169:K178)</f>
        <v>530736469.95999998</v>
      </c>
      <c r="L168" s="142">
        <f t="shared" si="40"/>
        <v>0.94316248556134896</v>
      </c>
      <c r="M168" s="13">
        <f t="shared" si="49"/>
        <v>530736469.95999998</v>
      </c>
      <c r="N168" s="67">
        <f t="shared" si="37"/>
        <v>0.94316248556134896</v>
      </c>
      <c r="O168" s="13">
        <f t="shared" si="49"/>
        <v>31983610.709999993</v>
      </c>
      <c r="P168" s="67">
        <f t="shared" si="38"/>
        <v>5.6837514438651024E-2</v>
      </c>
      <c r="Q168" s="13">
        <f t="shared" si="49"/>
        <v>31983610.709999993</v>
      </c>
      <c r="R168" s="67">
        <f t="shared" si="39"/>
        <v>5.6837514438651024E-2</v>
      </c>
    </row>
    <row r="169" spans="1:18" x14ac:dyDescent="0.25">
      <c r="A169" s="11" t="s">
        <v>264</v>
      </c>
      <c r="B169" s="11" t="s">
        <v>531</v>
      </c>
      <c r="C169" s="13">
        <f>SUMIF(SIGAF!$B$2:$B$547,$A169,SIGAF!$F$2:$F$547)</f>
        <v>7273677</v>
      </c>
      <c r="D169" s="13">
        <f>SUMIF(SIGAF!$B$2:$B$547,$A169,SIGAF!$G$2:$G$547)</f>
        <v>7273677</v>
      </c>
      <c r="E169" s="13">
        <f>SUMIF(SIGAF!$B$2:$B$547,$A169,SIGAF!$H$2:$H$547)</f>
        <v>0</v>
      </c>
      <c r="F169" s="67">
        <f t="shared" si="35"/>
        <v>0</v>
      </c>
      <c r="G169" s="13">
        <f>SUMIF(SIGAF!$B$2:$B$547,$A169,SIGAF!$I$2:$I$547)</f>
        <v>0</v>
      </c>
      <c r="H169" s="67">
        <f t="shared" si="36"/>
        <v>0</v>
      </c>
      <c r="I169" s="13">
        <f>SUMIF(SIGAF!$B$2:$B$547,$A169,SIGAF!$J$2:$J$547)</f>
        <v>0</v>
      </c>
      <c r="J169" s="67">
        <f t="shared" si="36"/>
        <v>0</v>
      </c>
      <c r="K169" s="13">
        <f>SUMIF(SIGAF!$B$2:$B$547,$A169,SIGAF!$K$2:$K$547)</f>
        <v>6369221</v>
      </c>
      <c r="L169" s="142">
        <f t="shared" si="40"/>
        <v>0.87565353809359425</v>
      </c>
      <c r="M169" s="13">
        <f>SUMIF(SIGAF!$B$2:$B$547,$A169,SIGAF!$L$2:$L$547)</f>
        <v>6369221</v>
      </c>
      <c r="N169" s="67">
        <f t="shared" si="37"/>
        <v>0.87565353809359425</v>
      </c>
      <c r="O169" s="86">
        <f>SUMIF(SIGAF!$B$2:$B$547,$A169,SIGAF!$M$2:$M$547)</f>
        <v>904456</v>
      </c>
      <c r="P169" s="67">
        <f t="shared" si="38"/>
        <v>0.1243464619064058</v>
      </c>
      <c r="Q169" s="13">
        <f>SUMIF(SIGAF!$B$2:$B$547,$A169,SIGAF!$N$2:$N$547)</f>
        <v>904456</v>
      </c>
      <c r="R169" s="67">
        <f t="shared" si="39"/>
        <v>0.1243464619064058</v>
      </c>
    </row>
    <row r="170" spans="1:18" x14ac:dyDescent="0.25">
      <c r="A170" s="11" t="s">
        <v>319</v>
      </c>
      <c r="B170" s="11" t="s">
        <v>531</v>
      </c>
      <c r="C170" s="13">
        <f>SUMIF(SIGAF!$B$2:$B$547,$A170,SIGAF!$F$2:$F$547)</f>
        <v>3852856.27</v>
      </c>
      <c r="D170" s="13">
        <f>SUMIF(SIGAF!$B$2:$B$547,$A170,SIGAF!$G$2:$G$547)</f>
        <v>3852856.27</v>
      </c>
      <c r="E170" s="13">
        <f>SUMIF(SIGAF!$B$2:$B$547,$A170,SIGAF!$H$2:$H$547)</f>
        <v>0</v>
      </c>
      <c r="F170" s="67">
        <f t="shared" si="35"/>
        <v>0</v>
      </c>
      <c r="G170" s="13">
        <f>SUMIF(SIGAF!$B$2:$B$547,$A170,SIGAF!$I$2:$I$547)</f>
        <v>0</v>
      </c>
      <c r="H170" s="67">
        <f t="shared" si="36"/>
        <v>0</v>
      </c>
      <c r="I170" s="13">
        <f>SUMIF(SIGAF!$B$2:$B$547,$A170,SIGAF!$J$2:$J$547)</f>
        <v>0</v>
      </c>
      <c r="J170" s="67">
        <f t="shared" si="36"/>
        <v>0</v>
      </c>
      <c r="K170" s="13">
        <f>SUMIF(SIGAF!$B$2:$B$547,$A170,SIGAF!$K$2:$K$547)</f>
        <v>3344177</v>
      </c>
      <c r="L170" s="142">
        <f t="shared" si="40"/>
        <v>0.86797346323017655</v>
      </c>
      <c r="M170" s="13">
        <f>SUMIF(SIGAF!$B$2:$B$547,$A170,SIGAF!$L$2:$L$547)</f>
        <v>3344177</v>
      </c>
      <c r="N170" s="67">
        <f t="shared" si="37"/>
        <v>0.86797346323017655</v>
      </c>
      <c r="O170" s="86">
        <f>SUMIF(SIGAF!$B$2:$B$547,$A170,SIGAF!$M$2:$M$547)</f>
        <v>508679.27</v>
      </c>
      <c r="P170" s="67">
        <f t="shared" si="38"/>
        <v>0.13202653676982351</v>
      </c>
      <c r="Q170" s="13">
        <f>SUMIF(SIGAF!$B$2:$B$547,$A170,SIGAF!$N$2:$N$547)</f>
        <v>508679.27</v>
      </c>
      <c r="R170" s="67">
        <f t="shared" si="39"/>
        <v>0.13202653676982351</v>
      </c>
    </row>
    <row r="171" spans="1:18" x14ac:dyDescent="0.25">
      <c r="A171" s="11" t="s">
        <v>354</v>
      </c>
      <c r="B171" s="11" t="s">
        <v>531</v>
      </c>
      <c r="C171" s="13">
        <f>SUMIF(SIGAF!$B$2:$B$547,$A171,SIGAF!$F$2:$F$547)</f>
        <v>37491403</v>
      </c>
      <c r="D171" s="13">
        <f>SUMIF(SIGAF!$B$2:$B$547,$A171,SIGAF!$G$2:$G$547)</f>
        <v>37491403</v>
      </c>
      <c r="E171" s="13">
        <f>SUMIF(SIGAF!$B$2:$B$547,$A171,SIGAF!$H$2:$H$547)</f>
        <v>0</v>
      </c>
      <c r="F171" s="67">
        <f t="shared" si="35"/>
        <v>0</v>
      </c>
      <c r="G171" s="13">
        <f>SUMIF(SIGAF!$B$2:$B$547,$A171,SIGAF!$I$2:$I$547)</f>
        <v>0</v>
      </c>
      <c r="H171" s="67">
        <f t="shared" si="36"/>
        <v>0</v>
      </c>
      <c r="I171" s="13">
        <f>SUMIF(SIGAF!$B$2:$B$547,$A171,SIGAF!$J$2:$J$547)</f>
        <v>0</v>
      </c>
      <c r="J171" s="67">
        <f t="shared" si="36"/>
        <v>0</v>
      </c>
      <c r="K171" s="13">
        <f>SUMIF(SIGAF!$B$2:$B$547,$A171,SIGAF!$K$2:$K$547)</f>
        <v>34130020.140000001</v>
      </c>
      <c r="L171" s="142">
        <f t="shared" si="40"/>
        <v>0.91034256946852588</v>
      </c>
      <c r="M171" s="13">
        <f>SUMIF(SIGAF!$B$2:$B$547,$A171,SIGAF!$L$2:$L$547)</f>
        <v>34130020.140000001</v>
      </c>
      <c r="N171" s="67">
        <f t="shared" si="37"/>
        <v>0.91034256946852588</v>
      </c>
      <c r="O171" s="86">
        <f>SUMIF(SIGAF!$B$2:$B$547,$A171,SIGAF!$M$2:$M$547)</f>
        <v>3361382.86</v>
      </c>
      <c r="P171" s="67">
        <f t="shared" si="38"/>
        <v>8.9657430531474111E-2</v>
      </c>
      <c r="Q171" s="13">
        <f>SUMIF(SIGAF!$B$2:$B$547,$A171,SIGAF!$N$2:$N$547)</f>
        <v>3361382.86</v>
      </c>
      <c r="R171" s="67">
        <f t="shared" si="39"/>
        <v>8.9657430531474111E-2</v>
      </c>
    </row>
    <row r="172" spans="1:18" x14ac:dyDescent="0.25">
      <c r="A172" s="11" t="s">
        <v>383</v>
      </c>
      <c r="B172" s="11" t="s">
        <v>531</v>
      </c>
      <c r="C172" s="13">
        <f>SUMIF(SIGAF!$B$2:$B$547,$A172,SIGAF!$F$2:$F$547)</f>
        <v>286553411</v>
      </c>
      <c r="D172" s="13">
        <f>SUMIF(SIGAF!$B$2:$B$547,$A172,SIGAF!$G$2:$G$547)</f>
        <v>286553411</v>
      </c>
      <c r="E172" s="13">
        <f>SUMIF(SIGAF!$B$2:$B$547,$A172,SIGAF!$H$2:$H$547)</f>
        <v>0</v>
      </c>
      <c r="F172" s="67">
        <f t="shared" si="35"/>
        <v>0</v>
      </c>
      <c r="G172" s="13">
        <f>SUMIF(SIGAF!$B$2:$B$547,$A172,SIGAF!$I$2:$I$547)</f>
        <v>0</v>
      </c>
      <c r="H172" s="67">
        <f t="shared" si="36"/>
        <v>0</v>
      </c>
      <c r="I172" s="13">
        <f>SUMIF(SIGAF!$B$2:$B$547,$A172,SIGAF!$J$2:$J$547)</f>
        <v>0</v>
      </c>
      <c r="J172" s="67">
        <f t="shared" si="36"/>
        <v>0</v>
      </c>
      <c r="K172" s="13">
        <f>SUMIF(SIGAF!$B$2:$B$547,$A172,SIGAF!$K$2:$K$547)</f>
        <v>272853355.30000001</v>
      </c>
      <c r="L172" s="142">
        <f t="shared" si="40"/>
        <v>0.95219021943521731</v>
      </c>
      <c r="M172" s="13">
        <f>SUMIF(SIGAF!$B$2:$B$547,$A172,SIGAF!$L$2:$L$547)</f>
        <v>272853355.30000001</v>
      </c>
      <c r="N172" s="67">
        <f t="shared" si="37"/>
        <v>0.95219021943521731</v>
      </c>
      <c r="O172" s="86">
        <f>SUMIF(SIGAF!$B$2:$B$547,$A172,SIGAF!$M$2:$M$547)</f>
        <v>13700055.699999999</v>
      </c>
      <c r="P172" s="67">
        <f t="shared" si="38"/>
        <v>4.7809780564782738E-2</v>
      </c>
      <c r="Q172" s="13">
        <f>SUMIF(SIGAF!$B$2:$B$547,$A172,SIGAF!$N$2:$N$547)</f>
        <v>13700055.699999999</v>
      </c>
      <c r="R172" s="67">
        <f t="shared" si="39"/>
        <v>4.7809780564782738E-2</v>
      </c>
    </row>
    <row r="173" spans="1:18" x14ac:dyDescent="0.25">
      <c r="A173" s="11" t="s">
        <v>402</v>
      </c>
      <c r="B173" s="11" t="s">
        <v>531</v>
      </c>
      <c r="C173" s="13">
        <f>SUMIF(SIGAF!$B$2:$B$547,$A173,SIGAF!$F$2:$F$547)</f>
        <v>57825398</v>
      </c>
      <c r="D173" s="13">
        <f>SUMIF(SIGAF!$B$2:$B$547,$A173,SIGAF!$G$2:$G$547)</f>
        <v>57825398</v>
      </c>
      <c r="E173" s="13">
        <f>SUMIF(SIGAF!$B$2:$B$547,$A173,SIGAF!$H$2:$H$547)</f>
        <v>0</v>
      </c>
      <c r="F173" s="67">
        <f t="shared" si="35"/>
        <v>0</v>
      </c>
      <c r="G173" s="13">
        <f>SUMIF(SIGAF!$B$2:$B$547,$A173,SIGAF!$I$2:$I$547)</f>
        <v>0</v>
      </c>
      <c r="H173" s="67">
        <f t="shared" si="36"/>
        <v>0</v>
      </c>
      <c r="I173" s="13">
        <f>SUMIF(SIGAF!$B$2:$B$547,$A173,SIGAF!$J$2:$J$547)</f>
        <v>0</v>
      </c>
      <c r="J173" s="67">
        <f t="shared" si="36"/>
        <v>0</v>
      </c>
      <c r="K173" s="13">
        <f>SUMIF(SIGAF!$B$2:$B$547,$A173,SIGAF!$K$2:$K$547)</f>
        <v>54168612.939999998</v>
      </c>
      <c r="L173" s="142">
        <f t="shared" si="40"/>
        <v>0.93676161018381576</v>
      </c>
      <c r="M173" s="13">
        <f>SUMIF(SIGAF!$B$2:$B$547,$A173,SIGAF!$L$2:$L$547)</f>
        <v>54168612.939999998</v>
      </c>
      <c r="N173" s="67">
        <f t="shared" si="37"/>
        <v>0.93676161018381576</v>
      </c>
      <c r="O173" s="86">
        <f>SUMIF(SIGAF!$B$2:$B$547,$A173,SIGAF!$M$2:$M$547)</f>
        <v>3656785.06</v>
      </c>
      <c r="P173" s="67">
        <f t="shared" si="38"/>
        <v>6.3238389816184237E-2</v>
      </c>
      <c r="Q173" s="13">
        <f>SUMIF(SIGAF!$B$2:$B$547,$A173,SIGAF!$N$2:$N$547)</f>
        <v>3656785.06</v>
      </c>
      <c r="R173" s="67">
        <f t="shared" si="39"/>
        <v>6.3238389816184237E-2</v>
      </c>
    </row>
    <row r="174" spans="1:18" x14ac:dyDescent="0.25">
      <c r="A174" s="11" t="s">
        <v>266</v>
      </c>
      <c r="B174" s="11" t="s">
        <v>532</v>
      </c>
      <c r="C174" s="13">
        <f>SUMIF(SIGAF!$B$2:$B$547,$A174,SIGAF!$F$2:$F$547)</f>
        <v>3134982</v>
      </c>
      <c r="D174" s="13">
        <f>SUMIF(SIGAF!$B$2:$B$547,$A174,SIGAF!$G$2:$G$547)</f>
        <v>3134982</v>
      </c>
      <c r="E174" s="13">
        <f>SUMIF(SIGAF!$B$2:$B$547,$A174,SIGAF!$H$2:$H$547)</f>
        <v>0</v>
      </c>
      <c r="F174" s="67">
        <f t="shared" si="35"/>
        <v>0</v>
      </c>
      <c r="G174" s="13">
        <f>SUMIF(SIGAF!$B$2:$B$547,$A174,SIGAF!$I$2:$I$547)</f>
        <v>0</v>
      </c>
      <c r="H174" s="67">
        <f t="shared" si="36"/>
        <v>0</v>
      </c>
      <c r="I174" s="13">
        <f>SUMIF(SIGAF!$B$2:$B$547,$A174,SIGAF!$J$2:$J$547)</f>
        <v>0</v>
      </c>
      <c r="J174" s="67">
        <f t="shared" si="36"/>
        <v>0</v>
      </c>
      <c r="K174" s="13">
        <f>SUMIF(SIGAF!$B$2:$B$547,$A174,SIGAF!$K$2:$K$547)</f>
        <v>2745353</v>
      </c>
      <c r="L174" s="142">
        <f t="shared" si="40"/>
        <v>0.87571571383822933</v>
      </c>
      <c r="M174" s="13">
        <f>SUMIF(SIGAF!$B$2:$B$547,$A174,SIGAF!$L$2:$L$547)</f>
        <v>2745353</v>
      </c>
      <c r="N174" s="67">
        <f t="shared" si="37"/>
        <v>0.87571571383822933</v>
      </c>
      <c r="O174" s="86">
        <f>SUMIF(SIGAF!$B$2:$B$547,$A174,SIGAF!$M$2:$M$547)</f>
        <v>389629</v>
      </c>
      <c r="P174" s="67">
        <f t="shared" si="38"/>
        <v>0.12428428616177063</v>
      </c>
      <c r="Q174" s="13">
        <f>SUMIF(SIGAF!$B$2:$B$547,$A174,SIGAF!$N$2:$N$547)</f>
        <v>389629</v>
      </c>
      <c r="R174" s="67">
        <f t="shared" si="39"/>
        <v>0.12428428616177063</v>
      </c>
    </row>
    <row r="175" spans="1:18" x14ac:dyDescent="0.25">
      <c r="A175" s="11" t="s">
        <v>320</v>
      </c>
      <c r="B175" s="11" t="s">
        <v>532</v>
      </c>
      <c r="C175" s="13">
        <f>SUMIF(SIGAF!$B$2:$B$547,$A175,SIGAF!$F$2:$F$547)</f>
        <v>1987560.4</v>
      </c>
      <c r="D175" s="13">
        <f>SUMIF(SIGAF!$B$2:$B$547,$A175,SIGAF!$G$2:$G$547)</f>
        <v>1987560.4</v>
      </c>
      <c r="E175" s="13">
        <f>SUMIF(SIGAF!$B$2:$B$547,$A175,SIGAF!$H$2:$H$547)</f>
        <v>0</v>
      </c>
      <c r="F175" s="67">
        <f t="shared" si="35"/>
        <v>0</v>
      </c>
      <c r="G175" s="13">
        <f>SUMIF(SIGAF!$B$2:$B$547,$A175,SIGAF!$I$2:$I$547)</f>
        <v>0</v>
      </c>
      <c r="H175" s="67">
        <f t="shared" si="36"/>
        <v>0</v>
      </c>
      <c r="I175" s="13">
        <f>SUMIF(SIGAF!$B$2:$B$547,$A175,SIGAF!$J$2:$J$547)</f>
        <v>0</v>
      </c>
      <c r="J175" s="67">
        <f t="shared" si="36"/>
        <v>0</v>
      </c>
      <c r="K175" s="13">
        <f>SUMIF(SIGAF!$B$2:$B$547,$A175,SIGAF!$K$2:$K$547)</f>
        <v>1441452</v>
      </c>
      <c r="L175" s="142">
        <f t="shared" si="40"/>
        <v>0.7252368280229371</v>
      </c>
      <c r="M175" s="13">
        <f>SUMIF(SIGAF!$B$2:$B$547,$A175,SIGAF!$L$2:$L$547)</f>
        <v>1441452</v>
      </c>
      <c r="N175" s="67">
        <f t="shared" si="37"/>
        <v>0.7252368280229371</v>
      </c>
      <c r="O175" s="86">
        <f>SUMIF(SIGAF!$B$2:$B$547,$A175,SIGAF!$M$2:$M$547)</f>
        <v>546108.4</v>
      </c>
      <c r="P175" s="67">
        <f t="shared" si="38"/>
        <v>0.27476317197706296</v>
      </c>
      <c r="Q175" s="13">
        <f>SUMIF(SIGAF!$B$2:$B$547,$A175,SIGAF!$N$2:$N$547)</f>
        <v>546108.4</v>
      </c>
      <c r="R175" s="67">
        <f t="shared" si="39"/>
        <v>0.27476317197706296</v>
      </c>
    </row>
    <row r="176" spans="1:18" x14ac:dyDescent="0.25">
      <c r="A176" s="11" t="s">
        <v>355</v>
      </c>
      <c r="B176" s="11" t="s">
        <v>532</v>
      </c>
      <c r="C176" s="13">
        <f>SUMIF(SIGAF!$B$2:$B$547,$A176,SIGAF!$F$2:$F$547)</f>
        <v>16160381</v>
      </c>
      <c r="D176" s="13">
        <f>SUMIF(SIGAF!$B$2:$B$547,$A176,SIGAF!$G$2:$G$547)</f>
        <v>16160381</v>
      </c>
      <c r="E176" s="13">
        <f>SUMIF(SIGAF!$B$2:$B$547,$A176,SIGAF!$H$2:$H$547)</f>
        <v>0</v>
      </c>
      <c r="F176" s="67">
        <f t="shared" si="35"/>
        <v>0</v>
      </c>
      <c r="G176" s="13">
        <f>SUMIF(SIGAF!$B$2:$B$547,$A176,SIGAF!$I$2:$I$547)</f>
        <v>0</v>
      </c>
      <c r="H176" s="67">
        <f t="shared" si="36"/>
        <v>0</v>
      </c>
      <c r="I176" s="13">
        <f>SUMIF(SIGAF!$B$2:$B$547,$A176,SIGAF!$J$2:$J$547)</f>
        <v>0</v>
      </c>
      <c r="J176" s="67">
        <f t="shared" si="36"/>
        <v>0</v>
      </c>
      <c r="K176" s="13">
        <f>SUMIF(SIGAF!$B$2:$B$547,$A176,SIGAF!$K$2:$K$547)</f>
        <v>14711215.58</v>
      </c>
      <c r="L176" s="142">
        <f t="shared" si="40"/>
        <v>0.91032603624877406</v>
      </c>
      <c r="M176" s="13">
        <f>SUMIF(SIGAF!$B$2:$B$547,$A176,SIGAF!$L$2:$L$547)</f>
        <v>14711215.58</v>
      </c>
      <c r="N176" s="67">
        <f t="shared" si="37"/>
        <v>0.91032603624877406</v>
      </c>
      <c r="O176" s="86">
        <f>SUMIF(SIGAF!$B$2:$B$547,$A176,SIGAF!$M$2:$M$547)</f>
        <v>1449165.42</v>
      </c>
      <c r="P176" s="67">
        <f t="shared" si="38"/>
        <v>8.967396375122591E-2</v>
      </c>
      <c r="Q176" s="13">
        <f>SUMIF(SIGAF!$B$2:$B$547,$A176,SIGAF!$N$2:$N$547)</f>
        <v>1449165.42</v>
      </c>
      <c r="R176" s="67">
        <f t="shared" si="39"/>
        <v>8.967396375122591E-2</v>
      </c>
    </row>
    <row r="177" spans="1:18" x14ac:dyDescent="0.25">
      <c r="A177" s="11" t="s">
        <v>384</v>
      </c>
      <c r="B177" s="11" t="s">
        <v>532</v>
      </c>
      <c r="C177" s="13">
        <f>SUMIF(SIGAF!$B$2:$B$547,$A177,SIGAF!$F$2:$F$547)</f>
        <v>123515470</v>
      </c>
      <c r="D177" s="13">
        <f>SUMIF(SIGAF!$B$2:$B$547,$A177,SIGAF!$G$2:$G$547)</f>
        <v>123515470</v>
      </c>
      <c r="E177" s="13">
        <f>SUMIF(SIGAF!$B$2:$B$547,$A177,SIGAF!$H$2:$H$547)</f>
        <v>0</v>
      </c>
      <c r="F177" s="67">
        <f t="shared" si="35"/>
        <v>0</v>
      </c>
      <c r="G177" s="13">
        <f>SUMIF(SIGAF!$B$2:$B$547,$A177,SIGAF!$I$2:$I$547)</f>
        <v>0</v>
      </c>
      <c r="H177" s="67">
        <f t="shared" si="36"/>
        <v>0</v>
      </c>
      <c r="I177" s="13">
        <f>SUMIF(SIGAF!$B$2:$B$547,$A177,SIGAF!$J$2:$J$547)</f>
        <v>0</v>
      </c>
      <c r="J177" s="67">
        <f t="shared" si="36"/>
        <v>0</v>
      </c>
      <c r="K177" s="13">
        <f>SUMIF(SIGAF!$B$2:$B$547,$A177,SIGAF!$K$2:$K$547)</f>
        <v>117609199.8</v>
      </c>
      <c r="L177" s="142">
        <f t="shared" si="40"/>
        <v>0.95218193963881603</v>
      </c>
      <c r="M177" s="13">
        <f>SUMIF(SIGAF!$B$2:$B$547,$A177,SIGAF!$L$2:$L$547)</f>
        <v>117609199.8</v>
      </c>
      <c r="N177" s="67">
        <f t="shared" si="37"/>
        <v>0.95218193963881603</v>
      </c>
      <c r="O177" s="86">
        <f>SUMIF(SIGAF!$B$2:$B$547,$A177,SIGAF!$M$2:$M$547)</f>
        <v>5906270.2000000002</v>
      </c>
      <c r="P177" s="67">
        <f t="shared" si="38"/>
        <v>4.7818060361183912E-2</v>
      </c>
      <c r="Q177" s="13">
        <f>SUMIF(SIGAF!$B$2:$B$547,$A177,SIGAF!$N$2:$N$547)</f>
        <v>5906270.2000000002</v>
      </c>
      <c r="R177" s="67">
        <f t="shared" si="39"/>
        <v>4.7818060361183912E-2</v>
      </c>
    </row>
    <row r="178" spans="1:18" x14ac:dyDescent="0.25">
      <c r="A178" s="11" t="s">
        <v>403</v>
      </c>
      <c r="B178" s="11" t="s">
        <v>532</v>
      </c>
      <c r="C178" s="13">
        <f>SUMIF(SIGAF!$B$2:$B$547,$A178,SIGAF!$F$2:$F$547)</f>
        <v>24924942</v>
      </c>
      <c r="D178" s="13">
        <f>SUMIF(SIGAF!$B$2:$B$547,$A178,SIGAF!$G$2:$G$547)</f>
        <v>24924942</v>
      </c>
      <c r="E178" s="13">
        <f>SUMIF(SIGAF!$B$2:$B$547,$A178,SIGAF!$H$2:$H$547)</f>
        <v>0</v>
      </c>
      <c r="F178" s="67">
        <f t="shared" si="35"/>
        <v>0</v>
      </c>
      <c r="G178" s="13">
        <f>SUMIF(SIGAF!$B$2:$B$547,$A178,SIGAF!$I$2:$I$547)</f>
        <v>0</v>
      </c>
      <c r="H178" s="67">
        <f t="shared" si="36"/>
        <v>0</v>
      </c>
      <c r="I178" s="13">
        <f>SUMIF(SIGAF!$B$2:$B$547,$A178,SIGAF!$J$2:$J$547)</f>
        <v>0</v>
      </c>
      <c r="J178" s="67">
        <f t="shared" si="36"/>
        <v>0</v>
      </c>
      <c r="K178" s="13">
        <f>SUMIF(SIGAF!$B$2:$B$547,$A178,SIGAF!$K$2:$K$547)</f>
        <v>23363863.199999999</v>
      </c>
      <c r="L178" s="142">
        <f t="shared" si="40"/>
        <v>0.93736880912300613</v>
      </c>
      <c r="M178" s="13">
        <f>SUMIF(SIGAF!$B$2:$B$547,$A178,SIGAF!$L$2:$L$547)</f>
        <v>23363863.199999999</v>
      </c>
      <c r="N178" s="67">
        <f t="shared" si="37"/>
        <v>0.93736880912300613</v>
      </c>
      <c r="O178" s="86">
        <f>SUMIF(SIGAF!$B$2:$B$547,$A178,SIGAF!$M$2:$M$547)</f>
        <v>1561078.8</v>
      </c>
      <c r="P178" s="67">
        <f t="shared" si="38"/>
        <v>6.2631190876993814E-2</v>
      </c>
      <c r="Q178" s="13">
        <f>SUMIF(SIGAF!$B$2:$B$547,$A178,SIGAF!$N$2:$N$547)</f>
        <v>1561078.8</v>
      </c>
      <c r="R178" s="67">
        <f t="shared" si="39"/>
        <v>6.2631190876993814E-2</v>
      </c>
    </row>
    <row r="179" spans="1:18" x14ac:dyDescent="0.25">
      <c r="A179" s="11" t="s">
        <v>385</v>
      </c>
      <c r="B179" s="11" t="s">
        <v>533</v>
      </c>
      <c r="C179" s="13">
        <f>SUMIF(SIGAF!$B$2:$B$547,$A179,SIGAF!$F$2:$F$547)</f>
        <v>450000000</v>
      </c>
      <c r="D179" s="13">
        <f>SUMIF(SIGAF!$B$2:$B$547,$A179,SIGAF!$G$2:$G$547)</f>
        <v>450000000</v>
      </c>
      <c r="E179" s="13">
        <f>SUMIF(SIGAF!$B$2:$B$547,$A179,SIGAF!$H$2:$H$547)</f>
        <v>0</v>
      </c>
      <c r="F179" s="67">
        <f t="shared" si="35"/>
        <v>0</v>
      </c>
      <c r="G179" s="13">
        <f>SUMIF(SIGAF!$B$2:$B$547,$A179,SIGAF!$I$2:$I$547)</f>
        <v>0</v>
      </c>
      <c r="H179" s="67">
        <f t="shared" si="36"/>
        <v>0</v>
      </c>
      <c r="I179" s="13">
        <f>SUMIF(SIGAF!$B$2:$B$547,$A179,SIGAF!$J$2:$J$547)</f>
        <v>0</v>
      </c>
      <c r="J179" s="67">
        <f t="shared" si="36"/>
        <v>0</v>
      </c>
      <c r="K179" s="13">
        <f>SUMIF(SIGAF!$B$2:$B$547,$A179,SIGAF!$K$2:$K$547)</f>
        <v>450000000</v>
      </c>
      <c r="L179" s="142">
        <f t="shared" si="40"/>
        <v>1</v>
      </c>
      <c r="M179" s="13">
        <f>SUMIF(SIGAF!$B$2:$B$547,$A179,SIGAF!$L$2:$L$547)</f>
        <v>450000000</v>
      </c>
      <c r="N179" s="67">
        <f t="shared" si="37"/>
        <v>1</v>
      </c>
      <c r="O179" s="86">
        <f>SUMIF(SIGAF!$B$2:$B$547,$A179,SIGAF!$M$2:$M$547)</f>
        <v>0</v>
      </c>
      <c r="P179" s="67">
        <f t="shared" si="38"/>
        <v>0</v>
      </c>
      <c r="Q179" s="13">
        <f>SUMIF(SIGAF!$B$2:$B$547,$A179,SIGAF!$N$2:$N$547)</f>
        <v>0</v>
      </c>
      <c r="R179" s="67">
        <f t="shared" si="39"/>
        <v>0</v>
      </c>
    </row>
    <row r="180" spans="1:18" x14ac:dyDescent="0.25">
      <c r="A180" s="11" t="s">
        <v>387</v>
      </c>
      <c r="B180" s="11" t="s">
        <v>534</v>
      </c>
      <c r="C180" s="13">
        <f>SUMIF(SIGAF!$B$2:$B$547,$A180,SIGAF!$F$2:$F$547)</f>
        <v>450000000</v>
      </c>
      <c r="D180" s="13">
        <f>SUMIF(SIGAF!$B$2:$B$547,$A180,SIGAF!$G$2:$G$547)</f>
        <v>450000000</v>
      </c>
      <c r="E180" s="13">
        <f>SUMIF(SIGAF!$B$2:$B$547,$A180,SIGAF!$H$2:$H$547)</f>
        <v>0</v>
      </c>
      <c r="F180" s="67">
        <f t="shared" si="35"/>
        <v>0</v>
      </c>
      <c r="G180" s="13">
        <f>SUMIF(SIGAF!$B$2:$B$547,$A180,SIGAF!$I$2:$I$547)</f>
        <v>0</v>
      </c>
      <c r="H180" s="67">
        <f t="shared" si="36"/>
        <v>0</v>
      </c>
      <c r="I180" s="13">
        <f>SUMIF(SIGAF!$B$2:$B$547,$A180,SIGAF!$J$2:$J$547)</f>
        <v>0</v>
      </c>
      <c r="J180" s="67">
        <f t="shared" si="36"/>
        <v>0</v>
      </c>
      <c r="K180" s="13">
        <f>SUMIF(SIGAF!$B$2:$B$547,$A180,SIGAF!$K$2:$K$547)</f>
        <v>450000000</v>
      </c>
      <c r="L180" s="142">
        <f t="shared" si="40"/>
        <v>1</v>
      </c>
      <c r="M180" s="13">
        <f>SUMIF(SIGAF!$B$2:$B$547,$A180,SIGAF!$L$2:$L$547)</f>
        <v>450000000</v>
      </c>
      <c r="N180" s="67">
        <f t="shared" si="37"/>
        <v>1</v>
      </c>
      <c r="O180" s="86">
        <f>SUMIF(SIGAF!$B$2:$B$547,$A180,SIGAF!$M$2:$M$547)</f>
        <v>0</v>
      </c>
      <c r="P180" s="67">
        <f t="shared" si="38"/>
        <v>0</v>
      </c>
      <c r="Q180" s="13">
        <f>SUMIF(SIGAF!$B$2:$B$547,$A180,SIGAF!$N$2:$N$547)</f>
        <v>0</v>
      </c>
      <c r="R180" s="67">
        <f t="shared" si="39"/>
        <v>0</v>
      </c>
    </row>
    <row r="181" spans="1:18" x14ac:dyDescent="0.25">
      <c r="A181" s="11" t="s">
        <v>268</v>
      </c>
      <c r="B181" s="11" t="s">
        <v>269</v>
      </c>
      <c r="C181" s="13">
        <f>SUMIF(SIGAF!$B$2:$B$547,$A181,SIGAF!$F$2:$F$547)</f>
        <v>1383915017</v>
      </c>
      <c r="D181" s="13">
        <f>SUMIF(SIGAF!$B$2:$B$547,$A181,SIGAF!$G$2:$G$547)</f>
        <v>1383915017</v>
      </c>
      <c r="E181" s="13">
        <f>SUMIF(SIGAF!$B$2:$B$547,$A181,SIGAF!$H$2:$H$547)</f>
        <v>0</v>
      </c>
      <c r="F181" s="67">
        <f t="shared" si="35"/>
        <v>0</v>
      </c>
      <c r="G181" s="13">
        <f>SUMIF(SIGAF!$B$2:$B$547,$A181,SIGAF!$I$2:$I$547)</f>
        <v>851930.71</v>
      </c>
      <c r="H181" s="67">
        <f t="shared" si="36"/>
        <v>6.1559467130198786E-4</v>
      </c>
      <c r="I181" s="13">
        <f>SUMIF(SIGAF!$B$2:$B$547,$A181,SIGAF!$J$2:$J$547)</f>
        <v>0</v>
      </c>
      <c r="J181" s="67">
        <f t="shared" si="36"/>
        <v>0</v>
      </c>
      <c r="K181" s="13">
        <f>SUMIF(SIGAF!$B$2:$B$547,$A181,SIGAF!$K$2:$K$547)</f>
        <v>1214559481.4000001</v>
      </c>
      <c r="L181" s="142">
        <f t="shared" si="40"/>
        <v>0.87762576927077318</v>
      </c>
      <c r="M181" s="13">
        <f>SUMIF(SIGAF!$B$2:$B$547,$A181,SIGAF!$L$2:$L$547)</f>
        <v>1214559481.4000001</v>
      </c>
      <c r="N181" s="67">
        <f t="shared" si="37"/>
        <v>0.87762576927077318</v>
      </c>
      <c r="O181" s="86">
        <f>SUMIF(SIGAF!$B$2:$B$547,$A181,SIGAF!$M$2:$M$547)</f>
        <v>168503604.89000002</v>
      </c>
      <c r="P181" s="67">
        <f t="shared" si="38"/>
        <v>0.12175863605792495</v>
      </c>
      <c r="Q181" s="13">
        <f>SUMIF(SIGAF!$B$2:$B$547,$A181,SIGAF!$N$2:$N$547)</f>
        <v>168503604.89000002</v>
      </c>
      <c r="R181" s="67">
        <f t="shared" si="39"/>
        <v>0.12175863605792495</v>
      </c>
    </row>
    <row r="182" spans="1:18" x14ac:dyDescent="0.25">
      <c r="A182" s="11" t="s">
        <v>270</v>
      </c>
      <c r="B182" s="11" t="s">
        <v>271</v>
      </c>
      <c r="C182" s="13">
        <f>SUMIF(SIGAF!$B$2:$B$547,$A182,SIGAF!$F$2:$F$547)</f>
        <v>959915017</v>
      </c>
      <c r="D182" s="13">
        <f>SUMIF(SIGAF!$B$2:$B$547,$A182,SIGAF!$G$2:$G$547)</f>
        <v>959915017</v>
      </c>
      <c r="E182" s="13">
        <f>SUMIF(SIGAF!$B$2:$B$547,$A182,SIGAF!$H$2:$H$547)</f>
        <v>0</v>
      </c>
      <c r="F182" s="67">
        <f t="shared" si="35"/>
        <v>0</v>
      </c>
      <c r="G182" s="13">
        <f>SUMIF(SIGAF!$B$2:$B$547,$A182,SIGAF!$I$2:$I$547)</f>
        <v>851930.71</v>
      </c>
      <c r="H182" s="67">
        <f t="shared" si="36"/>
        <v>8.8750638849522236E-4</v>
      </c>
      <c r="I182" s="13">
        <f>SUMIF(SIGAF!$B$2:$B$547,$A182,SIGAF!$J$2:$J$547)</f>
        <v>0</v>
      </c>
      <c r="J182" s="67">
        <f t="shared" si="36"/>
        <v>0</v>
      </c>
      <c r="K182" s="13">
        <f>SUMIF(SIGAF!$B$2:$B$547,$A182,SIGAF!$K$2:$K$547)</f>
        <v>851972065.42999995</v>
      </c>
      <c r="L182" s="142">
        <f t="shared" si="40"/>
        <v>0.88754947088196245</v>
      </c>
      <c r="M182" s="13">
        <f>SUMIF(SIGAF!$B$2:$B$547,$A182,SIGAF!$L$2:$L$547)</f>
        <v>851972065.42999995</v>
      </c>
      <c r="N182" s="67">
        <f t="shared" si="37"/>
        <v>0.88754947088196245</v>
      </c>
      <c r="O182" s="86">
        <f>SUMIF(SIGAF!$B$2:$B$547,$A182,SIGAF!$M$2:$M$547)</f>
        <v>107091020.86000001</v>
      </c>
      <c r="P182" s="67">
        <f t="shared" si="38"/>
        <v>0.11156302272954233</v>
      </c>
      <c r="Q182" s="13">
        <f>SUMIF(SIGAF!$B$2:$B$547,$A182,SIGAF!$N$2:$N$547)</f>
        <v>107091020.86000001</v>
      </c>
      <c r="R182" s="67">
        <f t="shared" si="39"/>
        <v>0.11156302272954233</v>
      </c>
    </row>
    <row r="183" spans="1:18" x14ac:dyDescent="0.25">
      <c r="A183" s="11" t="s">
        <v>272</v>
      </c>
      <c r="B183" s="11" t="s">
        <v>273</v>
      </c>
      <c r="C183" s="13">
        <f>SUMIF(SIGAF!$B$2:$B$547,$A183,SIGAF!$F$2:$F$547)</f>
        <v>424000000</v>
      </c>
      <c r="D183" s="13">
        <f>SUMIF(SIGAF!$B$2:$B$547,$A183,SIGAF!$G$2:$G$547)</f>
        <v>424000000</v>
      </c>
      <c r="E183" s="13">
        <f>SUMIF(SIGAF!$B$2:$B$547,$A183,SIGAF!$H$2:$H$547)</f>
        <v>0</v>
      </c>
      <c r="F183" s="67">
        <f t="shared" si="35"/>
        <v>0</v>
      </c>
      <c r="G183" s="13">
        <f>SUMIF(SIGAF!$B$2:$B$547,$A183,SIGAF!$I$2:$I$547)</f>
        <v>0</v>
      </c>
      <c r="H183" s="67">
        <f t="shared" si="36"/>
        <v>0</v>
      </c>
      <c r="I183" s="13">
        <f>SUMIF(SIGAF!$B$2:$B$547,$A183,SIGAF!$J$2:$J$547)</f>
        <v>0</v>
      </c>
      <c r="J183" s="67">
        <f t="shared" si="36"/>
        <v>0</v>
      </c>
      <c r="K183" s="13">
        <f>SUMIF(SIGAF!$B$2:$B$547,$A183,SIGAF!$K$2:$K$547)</f>
        <v>362587415.97000003</v>
      </c>
      <c r="L183" s="142">
        <f t="shared" si="40"/>
        <v>0.85515899992924538</v>
      </c>
      <c r="M183" s="13">
        <f>SUMIF(SIGAF!$B$2:$B$547,$A183,SIGAF!$L$2:$L$547)</f>
        <v>362587415.97000003</v>
      </c>
      <c r="N183" s="67">
        <f t="shared" si="37"/>
        <v>0.85515899992924538</v>
      </c>
      <c r="O183" s="86">
        <f>SUMIF(SIGAF!$B$2:$B$547,$A183,SIGAF!$M$2:$M$547)</f>
        <v>61412584.030000001</v>
      </c>
      <c r="P183" s="67">
        <f t="shared" si="38"/>
        <v>0.14484100007075473</v>
      </c>
      <c r="Q183" s="13">
        <f>SUMIF(SIGAF!$B$2:$B$547,$A183,SIGAF!$N$2:$N$547)</f>
        <v>61412584.030000001</v>
      </c>
      <c r="R183" s="67">
        <f t="shared" si="39"/>
        <v>0.14484100007075473</v>
      </c>
    </row>
    <row r="184" spans="1:18" x14ac:dyDescent="0.25">
      <c r="A184" s="11" t="s">
        <v>274</v>
      </c>
      <c r="B184" s="11" t="s">
        <v>535</v>
      </c>
      <c r="C184" s="13">
        <f>SUMIF(SIGAF!$B$2:$B$547,$A184,SIGAF!$F$2:$F$547)</f>
        <v>214843480.34</v>
      </c>
      <c r="D184" s="13">
        <f>SUMIF(SIGAF!$B$2:$B$547,$A184,SIGAF!$G$2:$G$547)</f>
        <v>214843480.34</v>
      </c>
      <c r="E184" s="13">
        <f>SUMIF(SIGAF!$B$2:$B$547,$A184,SIGAF!$H$2:$H$547)</f>
        <v>0</v>
      </c>
      <c r="F184" s="67">
        <f t="shared" si="35"/>
        <v>0</v>
      </c>
      <c r="G184" s="13">
        <f>SUMIF(SIGAF!$B$2:$B$547,$A184,SIGAF!$I$2:$I$547)</f>
        <v>147696807.28</v>
      </c>
      <c r="H184" s="67">
        <f t="shared" si="36"/>
        <v>0.6874623658407637</v>
      </c>
      <c r="I184" s="13">
        <f>SUMIF(SIGAF!$B$2:$B$547,$A184,SIGAF!$J$2:$J$547)</f>
        <v>0</v>
      </c>
      <c r="J184" s="67">
        <f t="shared" si="36"/>
        <v>0</v>
      </c>
      <c r="K184" s="13">
        <f>SUMIF(SIGAF!$B$2:$B$547,$A184,SIGAF!$K$2:$K$547)</f>
        <v>41911294.829999998</v>
      </c>
      <c r="L184" s="142">
        <f t="shared" si="40"/>
        <v>0.19507827169655503</v>
      </c>
      <c r="M184" s="13">
        <f>SUMIF(SIGAF!$B$2:$B$547,$A184,SIGAF!$L$2:$L$547)</f>
        <v>39812468.359999999</v>
      </c>
      <c r="N184" s="67">
        <f t="shared" si="37"/>
        <v>0.18530917622910817</v>
      </c>
      <c r="O184" s="86">
        <f>SUMIF(SIGAF!$B$2:$B$547,$A184,SIGAF!$M$2:$M$547)</f>
        <v>25235378.23</v>
      </c>
      <c r="P184" s="67">
        <f t="shared" si="38"/>
        <v>0.11745936246268128</v>
      </c>
      <c r="Q184" s="13">
        <f>SUMIF(SIGAF!$B$2:$B$547,$A184,SIGAF!$N$2:$N$547)</f>
        <v>25235378.23</v>
      </c>
      <c r="R184" s="67">
        <f t="shared" si="39"/>
        <v>0.11745936246268128</v>
      </c>
    </row>
    <row r="185" spans="1:18" x14ac:dyDescent="0.25">
      <c r="A185" s="11" t="s">
        <v>276</v>
      </c>
      <c r="B185" s="11" t="s">
        <v>277</v>
      </c>
      <c r="C185" s="13">
        <f>SUMIF(SIGAF!$B$2:$B$547,$A185,SIGAF!$F$2:$F$547)</f>
        <v>160095437.58000001</v>
      </c>
      <c r="D185" s="13">
        <f>SUMIF(SIGAF!$B$2:$B$547,$A185,SIGAF!$G$2:$G$547)</f>
        <v>160095437.58000001</v>
      </c>
      <c r="E185" s="13">
        <f>SUMIF(SIGAF!$B$2:$B$547,$A185,SIGAF!$H$2:$H$547)</f>
        <v>0</v>
      </c>
      <c r="F185" s="67">
        <f t="shared" si="35"/>
        <v>0</v>
      </c>
      <c r="G185" s="13">
        <f>SUMIF(SIGAF!$B$2:$B$547,$A185,SIGAF!$I$2:$I$547)</f>
        <v>125855203.81999999</v>
      </c>
      <c r="H185" s="67">
        <f t="shared" si="36"/>
        <v>0.78612611153962397</v>
      </c>
      <c r="I185" s="13">
        <f>SUMIF(SIGAF!$B$2:$B$547,$A185,SIGAF!$J$2:$J$547)</f>
        <v>0</v>
      </c>
      <c r="J185" s="67">
        <f t="shared" si="36"/>
        <v>0</v>
      </c>
      <c r="K185" s="13">
        <f>SUMIF(SIGAF!$B$2:$B$547,$A185,SIGAF!$K$2:$K$547)</f>
        <v>28937539.859999999</v>
      </c>
      <c r="L185" s="142">
        <f t="shared" si="40"/>
        <v>0.18075180840515739</v>
      </c>
      <c r="M185" s="13">
        <f>SUMIF(SIGAF!$B$2:$B$547,$A185,SIGAF!$L$2:$L$547)</f>
        <v>26838713.390000001</v>
      </c>
      <c r="N185" s="67">
        <f t="shared" si="37"/>
        <v>0.16764196279227908</v>
      </c>
      <c r="O185" s="86">
        <f>SUMIF(SIGAF!$B$2:$B$547,$A185,SIGAF!$M$2:$M$547)</f>
        <v>5302693.9000000004</v>
      </c>
      <c r="P185" s="67">
        <f t="shared" si="38"/>
        <v>3.3122080055218522E-2</v>
      </c>
      <c r="Q185" s="13">
        <f>SUMIF(SIGAF!$B$2:$B$547,$A185,SIGAF!$N$2:$N$547)</f>
        <v>5302693.9000000004</v>
      </c>
      <c r="R185" s="67">
        <f t="shared" si="39"/>
        <v>3.3122080055218522E-2</v>
      </c>
    </row>
    <row r="186" spans="1:18" x14ac:dyDescent="0.25">
      <c r="A186" s="11" t="s">
        <v>278</v>
      </c>
      <c r="B186" s="11" t="s">
        <v>536</v>
      </c>
      <c r="C186" s="13">
        <f>SUMIF(SIGAF!$B$2:$B$547,$A186,SIGAF!$F$2:$F$547)</f>
        <v>54748042.760000005</v>
      </c>
      <c r="D186" s="13">
        <f>SUMIF(SIGAF!$B$2:$B$547,$A186,SIGAF!$G$2:$G$547)</f>
        <v>54748042.760000005</v>
      </c>
      <c r="E186" s="13">
        <f>SUMIF(SIGAF!$B$2:$B$547,$A186,SIGAF!$H$2:$H$547)</f>
        <v>0</v>
      </c>
      <c r="F186" s="67">
        <f t="shared" si="35"/>
        <v>0</v>
      </c>
      <c r="G186" s="13">
        <f>SUMIF(SIGAF!$B$2:$B$547,$A186,SIGAF!$I$2:$I$547)</f>
        <v>21841603.460000001</v>
      </c>
      <c r="H186" s="67">
        <f t="shared" si="36"/>
        <v>0.39894765838018059</v>
      </c>
      <c r="I186" s="13">
        <f>SUMIF(SIGAF!$B$2:$B$547,$A186,SIGAF!$J$2:$J$547)</f>
        <v>0</v>
      </c>
      <c r="J186" s="67">
        <f t="shared" si="36"/>
        <v>0</v>
      </c>
      <c r="K186" s="13">
        <f>SUMIF(SIGAF!$B$2:$B$547,$A186,SIGAF!$K$2:$K$547)</f>
        <v>12973754.969999999</v>
      </c>
      <c r="L186" s="142">
        <f t="shared" si="40"/>
        <v>0.23697203253225482</v>
      </c>
      <c r="M186" s="13">
        <f>SUMIF(SIGAF!$B$2:$B$547,$A186,SIGAF!$L$2:$L$547)</f>
        <v>12973754.969999999</v>
      </c>
      <c r="N186" s="67">
        <f t="shared" si="37"/>
        <v>0.23697203253225482</v>
      </c>
      <c r="O186" s="86">
        <f>SUMIF(SIGAF!$B$2:$B$547,$A186,SIGAF!$M$2:$M$547)</f>
        <v>19932684.329999998</v>
      </c>
      <c r="P186" s="67">
        <f t="shared" si="38"/>
        <v>0.36408030908756445</v>
      </c>
      <c r="Q186" s="13">
        <f>SUMIF(SIGAF!$B$2:$B$547,$A186,SIGAF!$N$2:$N$547)</f>
        <v>19932684.329999998</v>
      </c>
      <c r="R186" s="67">
        <f t="shared" si="39"/>
        <v>0.36408030908756445</v>
      </c>
    </row>
    <row r="187" spans="1:18" x14ac:dyDescent="0.25">
      <c r="A187" s="11" t="s">
        <v>280</v>
      </c>
      <c r="B187" s="11" t="s">
        <v>537</v>
      </c>
      <c r="C187" s="13">
        <f>SUMIF(SIGAF!$B$2:$B$547,$A187,SIGAF!$F$2:$F$547)</f>
        <v>403232000</v>
      </c>
      <c r="D187" s="13">
        <f>SUMIF(SIGAF!$B$2:$B$547,$A187,SIGAF!$G$2:$G$547)</f>
        <v>403232000</v>
      </c>
      <c r="E187" s="13">
        <f>SUMIF(SIGAF!$B$2:$B$547,$A187,SIGAF!$H$2:$H$547)</f>
        <v>0</v>
      </c>
      <c r="F187" s="67">
        <f t="shared" si="35"/>
        <v>0</v>
      </c>
      <c r="G187" s="13">
        <f>SUMIF(SIGAF!$B$2:$B$547,$A187,SIGAF!$I$2:$I$547)</f>
        <v>0</v>
      </c>
      <c r="H187" s="67">
        <f t="shared" si="36"/>
        <v>0</v>
      </c>
      <c r="I187" s="13">
        <f>SUMIF(SIGAF!$B$2:$B$547,$A187,SIGAF!$J$2:$J$547)</f>
        <v>0</v>
      </c>
      <c r="J187" s="67">
        <f t="shared" si="36"/>
        <v>0</v>
      </c>
      <c r="K187" s="13">
        <f>SUMIF(SIGAF!$B$2:$B$547,$A187,SIGAF!$K$2:$K$547)</f>
        <v>402050748.29000002</v>
      </c>
      <c r="L187" s="142">
        <f t="shared" si="40"/>
        <v>0.99707054075569401</v>
      </c>
      <c r="M187" s="13">
        <f>SUMIF(SIGAF!$B$2:$B$547,$A187,SIGAF!$L$2:$L$547)</f>
        <v>402050748.29000002</v>
      </c>
      <c r="N187" s="67">
        <f t="shared" si="37"/>
        <v>0.99707054075569401</v>
      </c>
      <c r="O187" s="86">
        <f>SUMIF(SIGAF!$B$2:$B$547,$A187,SIGAF!$M$2:$M$547)</f>
        <v>1181251.71</v>
      </c>
      <c r="P187" s="67">
        <f t="shared" si="38"/>
        <v>2.9294592443060074E-3</v>
      </c>
      <c r="Q187" s="13">
        <f>SUMIF(SIGAF!$B$2:$B$547,$A187,SIGAF!$N$2:$N$547)</f>
        <v>1181251.71</v>
      </c>
      <c r="R187" s="67">
        <f t="shared" si="39"/>
        <v>2.9294592443060074E-3</v>
      </c>
    </row>
    <row r="188" spans="1:18" x14ac:dyDescent="0.25">
      <c r="A188" s="11" t="s">
        <v>415</v>
      </c>
      <c r="B188" s="11" t="s">
        <v>538</v>
      </c>
      <c r="C188" s="13">
        <f>SUM(C189:C191)</f>
        <v>403232000</v>
      </c>
      <c r="D188" s="13">
        <f t="shared" ref="D188:G188" si="50">SUM(D189:D191)</f>
        <v>403232000</v>
      </c>
      <c r="E188" s="13">
        <f t="shared" si="50"/>
        <v>0</v>
      </c>
      <c r="F188" s="67">
        <f t="shared" si="35"/>
        <v>0</v>
      </c>
      <c r="G188" s="13">
        <f t="shared" si="50"/>
        <v>0</v>
      </c>
      <c r="H188" s="67">
        <f t="shared" si="36"/>
        <v>0</v>
      </c>
      <c r="I188" s="13">
        <f t="shared" ref="I188" si="51">SUM(I189:I191)</f>
        <v>0</v>
      </c>
      <c r="J188" s="67">
        <f t="shared" si="36"/>
        <v>0</v>
      </c>
      <c r="K188" s="13">
        <f t="shared" ref="K188:Q188" si="52">SUM(K189:K191)</f>
        <v>402050748.29000002</v>
      </c>
      <c r="L188" s="142">
        <f t="shared" si="40"/>
        <v>0.99707054075569401</v>
      </c>
      <c r="M188" s="13">
        <f t="shared" si="52"/>
        <v>402050748.29000002</v>
      </c>
      <c r="N188" s="67">
        <f t="shared" si="37"/>
        <v>0.99707054075569401</v>
      </c>
      <c r="O188" s="13">
        <f t="shared" si="52"/>
        <v>1181251.71</v>
      </c>
      <c r="P188" s="67">
        <f t="shared" si="38"/>
        <v>2.9294592443060074E-3</v>
      </c>
      <c r="Q188" s="13">
        <f t="shared" si="52"/>
        <v>1181251.71</v>
      </c>
      <c r="R188" s="67">
        <f t="shared" si="39"/>
        <v>2.9294592443060074E-3</v>
      </c>
    </row>
    <row r="189" spans="1:18" x14ac:dyDescent="0.25">
      <c r="A189" s="11" t="s">
        <v>282</v>
      </c>
      <c r="B189" s="11" t="s">
        <v>539</v>
      </c>
      <c r="C189" s="13">
        <f>SUMIF(SIGAF!$B$2:$B$547,$A189,SIGAF!$F$2:$F$547)</f>
        <v>389032000</v>
      </c>
      <c r="D189" s="13">
        <f>SUMIF(SIGAF!$B$2:$B$547,$A189,SIGAF!$G$2:$G$547)</f>
        <v>389032000</v>
      </c>
      <c r="E189" s="13">
        <f>SUMIF(SIGAF!$B$2:$B$547,$A189,SIGAF!$H$2:$H$547)</f>
        <v>0</v>
      </c>
      <c r="F189" s="67">
        <f t="shared" si="35"/>
        <v>0</v>
      </c>
      <c r="G189" s="13">
        <f>SUMIF(SIGAF!$B$2:$B$547,$A189,SIGAF!$I$2:$I$547)</f>
        <v>0</v>
      </c>
      <c r="H189" s="67">
        <f t="shared" si="36"/>
        <v>0</v>
      </c>
      <c r="I189" s="13">
        <f>SUMIF(SIGAF!$B$2:$B$547,$A189,SIGAF!$J$2:$J$547)</f>
        <v>0</v>
      </c>
      <c r="J189" s="67">
        <f t="shared" si="36"/>
        <v>0</v>
      </c>
      <c r="K189" s="13">
        <f>SUMIF(SIGAF!$B$2:$B$547,$A189,SIGAF!$K$2:$K$547)</f>
        <v>389032000</v>
      </c>
      <c r="L189" s="142">
        <f t="shared" si="40"/>
        <v>1</v>
      </c>
      <c r="M189" s="13">
        <f>SUMIF(SIGAF!$B$2:$B$547,$A189,SIGAF!$L$2:$L$547)</f>
        <v>389032000</v>
      </c>
      <c r="N189" s="67">
        <f t="shared" si="37"/>
        <v>1</v>
      </c>
      <c r="O189" s="86">
        <f>SUMIF(SIGAF!$B$2:$B$547,$A189,SIGAF!$M$2:$M$547)</f>
        <v>0</v>
      </c>
      <c r="P189" s="67">
        <f t="shared" si="38"/>
        <v>0</v>
      </c>
      <c r="Q189" s="13">
        <f>SUMIF(SIGAF!$B$2:$B$547,$A189,SIGAF!$N$2:$N$547)</f>
        <v>0</v>
      </c>
      <c r="R189" s="67">
        <f t="shared" si="39"/>
        <v>0</v>
      </c>
    </row>
    <row r="190" spans="1:18" x14ac:dyDescent="0.25">
      <c r="A190" s="11" t="s">
        <v>574</v>
      </c>
      <c r="B190" s="11" t="s">
        <v>577</v>
      </c>
      <c r="C190" s="13">
        <f>SUMIF(SIGAF!$B$2:$B$547,$A190,SIGAF!$F$2:$F$547)</f>
        <v>11000000</v>
      </c>
      <c r="D190" s="13">
        <f>SUMIF(SIGAF!$B$2:$B$547,$A190,SIGAF!$G$2:$G$547)</f>
        <v>11000000</v>
      </c>
      <c r="E190" s="13">
        <f>SUMIF(SIGAF!$B$2:$B$547,$A190,SIGAF!$H$2:$H$547)</f>
        <v>0</v>
      </c>
      <c r="F190" s="67">
        <f t="shared" ref="F190" si="53">+IFERROR(+E190/$C190,0)</f>
        <v>0</v>
      </c>
      <c r="G190" s="13">
        <f>SUMIF(SIGAF!$B$2:$B$547,$A190,SIGAF!$I$2:$I$547)</f>
        <v>0</v>
      </c>
      <c r="H190" s="67">
        <f t="shared" ref="H190" si="54">+IFERROR(+G190/$C190,0)</f>
        <v>0</v>
      </c>
      <c r="I190" s="13">
        <f>SUMIF(SIGAF!$B$2:$B$547,$A190,SIGAF!$J$2:$J$547)</f>
        <v>0</v>
      </c>
      <c r="J190" s="67">
        <f t="shared" ref="J190" si="55">+IFERROR(+I190/$C190,0)</f>
        <v>0</v>
      </c>
      <c r="K190" s="13">
        <f>SUMIF(SIGAF!$B$2:$B$547,$A190,SIGAF!$K$2:$K$547)</f>
        <v>9829834.5999999996</v>
      </c>
      <c r="L190" s="142">
        <f t="shared" ref="L190" si="56">+IFERROR(+K190/$C190,0)</f>
        <v>0.89362132727272725</v>
      </c>
      <c r="M190" s="13">
        <f>SUMIF(SIGAF!$B$2:$B$547,$A190,SIGAF!$L$2:$L$547)</f>
        <v>9829834.5999999996</v>
      </c>
      <c r="N190" s="67">
        <f t="shared" ref="N190" si="57">+IFERROR(+M190/$C190,0)</f>
        <v>0.89362132727272725</v>
      </c>
      <c r="O190" s="86">
        <f>SUMIF(SIGAF!$B$2:$B$547,$A190,SIGAF!$M$2:$M$547)</f>
        <v>1170165.3999999999</v>
      </c>
      <c r="P190" s="67">
        <f t="shared" ref="P190" si="58">+IFERROR(+O190/$C190,0)</f>
        <v>0.10637867272727272</v>
      </c>
      <c r="Q190" s="13">
        <f>SUMIF(SIGAF!$B$2:$B$547,$A190,SIGAF!$N$2:$N$547)</f>
        <v>1170165.3999999999</v>
      </c>
      <c r="R190" s="67">
        <f t="shared" ref="R190" si="59">+IFERROR(+Q190/$C190,0)</f>
        <v>0.10637867272727272</v>
      </c>
    </row>
    <row r="191" spans="1:18" x14ac:dyDescent="0.25">
      <c r="A191" s="11" t="s">
        <v>284</v>
      </c>
      <c r="B191" s="11" t="s">
        <v>540</v>
      </c>
      <c r="C191" s="13">
        <f>SUMIF(SIGAF!$B$2:$B$547,$A191,SIGAF!$F$2:$F$547)</f>
        <v>3200000</v>
      </c>
      <c r="D191" s="13">
        <f>SUMIF(SIGAF!$B$2:$B$547,$A191,SIGAF!$G$2:$G$547)</f>
        <v>3200000</v>
      </c>
      <c r="E191" s="13">
        <f>SUMIF(SIGAF!$B$2:$B$547,$A191,SIGAF!$H$2:$H$547)</f>
        <v>0</v>
      </c>
      <c r="F191" s="67">
        <f t="shared" si="35"/>
        <v>0</v>
      </c>
      <c r="G191" s="13">
        <f>SUMIF(SIGAF!$B$2:$B$547,$A191,SIGAF!$I$2:$I$547)</f>
        <v>0</v>
      </c>
      <c r="H191" s="67">
        <f t="shared" si="36"/>
        <v>0</v>
      </c>
      <c r="I191" s="13">
        <f>SUMIF(SIGAF!$B$2:$B$547,$A191,SIGAF!$J$2:$J$547)</f>
        <v>0</v>
      </c>
      <c r="J191" s="67">
        <f t="shared" si="36"/>
        <v>0</v>
      </c>
      <c r="K191" s="13">
        <f>SUMIF(SIGAF!$B$2:$B$547,$A191,SIGAF!$K$2:$K$547)</f>
        <v>3188913.69</v>
      </c>
      <c r="L191" s="142">
        <f t="shared" si="40"/>
        <v>0.99653552812500001</v>
      </c>
      <c r="M191" s="13">
        <f>SUMIF(SIGAF!$B$2:$B$547,$A191,SIGAF!$L$2:$L$547)</f>
        <v>3188913.69</v>
      </c>
      <c r="N191" s="67">
        <f t="shared" si="37"/>
        <v>0.99653552812500001</v>
      </c>
      <c r="O191" s="86">
        <f>SUMIF(SIGAF!$B$2:$B$547,$A191,SIGAF!$M$2:$M$547)</f>
        <v>11086.31</v>
      </c>
      <c r="P191" s="67">
        <f t="shared" si="38"/>
        <v>3.4644718749999998E-3</v>
      </c>
      <c r="Q191" s="13">
        <f>SUMIF(SIGAF!$B$2:$B$547,$A191,SIGAF!$N$2:$N$547)</f>
        <v>11086.31</v>
      </c>
      <c r="R191" s="67">
        <f t="shared" si="39"/>
        <v>3.4644718749999998E-3</v>
      </c>
    </row>
    <row r="192" spans="1:18" s="23" customFormat="1" x14ac:dyDescent="0.25">
      <c r="A192" s="21" t="s">
        <v>389</v>
      </c>
      <c r="B192" s="21" t="s">
        <v>541</v>
      </c>
      <c r="C192" s="35">
        <f>+C193</f>
        <v>10079203438</v>
      </c>
      <c r="D192" s="35">
        <f t="shared" ref="D192:I192" si="60">+D193</f>
        <v>10079203437.799999</v>
      </c>
      <c r="E192" s="35">
        <f t="shared" si="60"/>
        <v>0</v>
      </c>
      <c r="F192" s="66">
        <f t="shared" si="35"/>
        <v>0</v>
      </c>
      <c r="G192" s="35">
        <f t="shared" si="60"/>
        <v>0</v>
      </c>
      <c r="H192" s="66">
        <f t="shared" si="36"/>
        <v>0</v>
      </c>
      <c r="I192" s="35">
        <f t="shared" si="60"/>
        <v>0</v>
      </c>
      <c r="J192" s="66">
        <f t="shared" si="36"/>
        <v>0</v>
      </c>
      <c r="K192" s="35">
        <f t="shared" ref="K192:Q192" si="61">+K193</f>
        <v>4142986000</v>
      </c>
      <c r="L192" s="141">
        <f t="shared" si="40"/>
        <v>0.41104299813816297</v>
      </c>
      <c r="M192" s="35">
        <f t="shared" si="61"/>
        <v>4142986000</v>
      </c>
      <c r="N192" s="66">
        <f t="shared" si="37"/>
        <v>0.41104299813816297</v>
      </c>
      <c r="O192" s="35">
        <f t="shared" si="61"/>
        <v>5936217438</v>
      </c>
      <c r="P192" s="66">
        <f t="shared" si="38"/>
        <v>0.58895700186183697</v>
      </c>
      <c r="Q192" s="35">
        <f t="shared" si="61"/>
        <v>5936217437.8000002</v>
      </c>
      <c r="R192" s="66">
        <f t="shared" si="39"/>
        <v>0.58895700184199418</v>
      </c>
    </row>
    <row r="193" spans="1:18" x14ac:dyDescent="0.25">
      <c r="A193" s="11" t="s">
        <v>391</v>
      </c>
      <c r="B193" s="11" t="s">
        <v>542</v>
      </c>
      <c r="C193" s="13">
        <f>SUMIF(SIGAF!$B$2:$B$547,$A193,SIGAF!$F$2:$F$547)</f>
        <v>10079203438</v>
      </c>
      <c r="D193" s="13">
        <f>SUMIF(SIGAF!$B$2:$B$547,$A193,SIGAF!$G$2:$G$547)</f>
        <v>10079203437.799999</v>
      </c>
      <c r="E193" s="13">
        <f>SUMIF(SIGAF!$B$2:$B$547,$A193,SIGAF!$H$2:$H$547)</f>
        <v>0</v>
      </c>
      <c r="F193" s="67">
        <f t="shared" si="35"/>
        <v>0</v>
      </c>
      <c r="G193" s="13">
        <f>SUMIF(SIGAF!$B$2:$B$547,$A193,SIGAF!$I$2:$I$547)</f>
        <v>0</v>
      </c>
      <c r="H193" s="67">
        <f t="shared" si="36"/>
        <v>0</v>
      </c>
      <c r="I193" s="13">
        <f>SUMIF(SIGAF!$B$2:$B$547,$A193,SIGAF!$J$2:$J$547)</f>
        <v>0</v>
      </c>
      <c r="J193" s="67">
        <f t="shared" si="36"/>
        <v>0</v>
      </c>
      <c r="K193" s="13">
        <f>SUMIF(SIGAF!$B$2:$B$547,$A193,SIGAF!$K$2:$K$547)</f>
        <v>4142986000</v>
      </c>
      <c r="L193" s="142">
        <f t="shared" si="40"/>
        <v>0.41104299813816297</v>
      </c>
      <c r="M193" s="13">
        <f>SUMIF(SIGAF!$B$2:$B$547,$A193,SIGAF!$L$2:$L$547)</f>
        <v>4142986000</v>
      </c>
      <c r="N193" s="67">
        <f t="shared" si="37"/>
        <v>0.41104299813816297</v>
      </c>
      <c r="O193" s="86">
        <f>SUMIF(SIGAF!$B$2:$B$547,$A193,SIGAF!$M$2:$M$547)</f>
        <v>5936217438</v>
      </c>
      <c r="P193" s="67">
        <f t="shared" si="38"/>
        <v>0.58895700186183697</v>
      </c>
      <c r="Q193" s="13">
        <f>SUMIF(SIGAF!$B$2:$B$547,$A193,SIGAF!$N$2:$N$547)</f>
        <v>5936217437.8000002</v>
      </c>
      <c r="R193" s="67">
        <f t="shared" si="39"/>
        <v>0.58895700184199418</v>
      </c>
    </row>
    <row r="194" spans="1:18" x14ac:dyDescent="0.25">
      <c r="A194" s="11" t="s">
        <v>416</v>
      </c>
      <c r="B194" s="11" t="s">
        <v>543</v>
      </c>
      <c r="C194" s="13">
        <f>SUM(C195:C196)</f>
        <v>10079203438</v>
      </c>
      <c r="D194" s="13">
        <f>SUM(D195:D196)</f>
        <v>10079203437.799999</v>
      </c>
      <c r="E194" s="13">
        <f>SUM(E195:E196)</f>
        <v>0</v>
      </c>
      <c r="F194" s="67">
        <f t="shared" si="35"/>
        <v>0</v>
      </c>
      <c r="G194" s="13">
        <f>SUM(G195:G196)</f>
        <v>0</v>
      </c>
      <c r="H194" s="67">
        <f t="shared" si="36"/>
        <v>0</v>
      </c>
      <c r="I194" s="13">
        <f>SUM(I195:I196)</f>
        <v>0</v>
      </c>
      <c r="J194" s="67">
        <f t="shared" si="36"/>
        <v>0</v>
      </c>
      <c r="K194" s="13">
        <f>SUM(K195:K196)</f>
        <v>4142986000</v>
      </c>
      <c r="L194" s="142">
        <f t="shared" si="40"/>
        <v>0.41104299813816297</v>
      </c>
      <c r="M194" s="13">
        <f>SUM(M195:M196)</f>
        <v>4142986000</v>
      </c>
      <c r="N194" s="67">
        <f t="shared" si="37"/>
        <v>0.41104299813816297</v>
      </c>
      <c r="O194" s="13">
        <f>SUM(O195:O196)</f>
        <v>5936217438</v>
      </c>
      <c r="P194" s="67">
        <f t="shared" si="38"/>
        <v>0.58895700186183697</v>
      </c>
      <c r="Q194" s="13">
        <f>SUM(Q195:Q196)</f>
        <v>5936217437.8000002</v>
      </c>
      <c r="R194" s="67">
        <f t="shared" si="39"/>
        <v>0.58895700184199418</v>
      </c>
    </row>
    <row r="195" spans="1:18" x14ac:dyDescent="0.25">
      <c r="A195" s="11" t="s">
        <v>393</v>
      </c>
      <c r="B195" s="11" t="s">
        <v>544</v>
      </c>
      <c r="C195" s="13">
        <f>SUMIF(SIGAF!$B$2:$B$547,$A195,SIGAF!$F$2:$F$547)</f>
        <v>10079203438</v>
      </c>
      <c r="D195" s="13">
        <f>SUMIF(SIGAF!$B$2:$B$547,$A195,SIGAF!$G$2:$G$547)</f>
        <v>10079203437.799999</v>
      </c>
      <c r="E195" s="13">
        <f>SUMIF(SIGAF!$B$2:$B$547,$A195,SIGAF!$H$2:$H$547)</f>
        <v>0</v>
      </c>
      <c r="F195" s="67">
        <f t="shared" si="35"/>
        <v>0</v>
      </c>
      <c r="G195" s="13">
        <f>SUMIF(SIGAF!$B$2:$B$547,$A195,SIGAF!$I$2:$I$547)</f>
        <v>0</v>
      </c>
      <c r="H195" s="67">
        <f t="shared" si="36"/>
        <v>0</v>
      </c>
      <c r="I195" s="13">
        <f>SUMIF(SIGAF!$B$2:$B$547,$A195,SIGAF!$J$2:$J$547)</f>
        <v>0</v>
      </c>
      <c r="J195" s="67">
        <f t="shared" si="36"/>
        <v>0</v>
      </c>
      <c r="K195" s="13">
        <f>SUMIF(SIGAF!$B$2:$B$547,$A195,SIGAF!$K$2:$K$547)</f>
        <v>4142986000</v>
      </c>
      <c r="L195" s="142">
        <f t="shared" si="40"/>
        <v>0.41104299813816297</v>
      </c>
      <c r="M195" s="13">
        <f>SUMIF(SIGAF!$B$2:$B$547,$A195,SIGAF!$L$2:$L$547)</f>
        <v>4142986000</v>
      </c>
      <c r="N195" s="67">
        <f t="shared" si="37"/>
        <v>0.41104299813816297</v>
      </c>
      <c r="O195" s="86">
        <f>SUMIF(SIGAF!$B$2:$B$547,$A195,SIGAF!$M$2:$M$547)</f>
        <v>5936217438</v>
      </c>
      <c r="P195" s="67">
        <f t="shared" si="38"/>
        <v>0.58895700186183697</v>
      </c>
      <c r="Q195" s="13">
        <f>SUMIF(SIGAF!$B$2:$B$547,$A195,SIGAF!$N$2:$N$547)</f>
        <v>5936217437.8000002</v>
      </c>
      <c r="R195" s="67">
        <f t="shared" si="39"/>
        <v>0.58895700184199418</v>
      </c>
    </row>
    <row r="196" spans="1:18" x14ac:dyDescent="0.25">
      <c r="A196" s="11" t="s">
        <v>417</v>
      </c>
      <c r="B196" s="11" t="s">
        <v>527</v>
      </c>
      <c r="C196" s="13">
        <f>SUMIF(SIGAF!$B$2:$B$547,$A196,SIGAF!$F$2:$F$547)</f>
        <v>0</v>
      </c>
      <c r="D196" s="13">
        <f>SUMIF(SIGAF!$B$2:$B$547,$A196,SIGAF!$G$2:$G$547)</f>
        <v>0</v>
      </c>
      <c r="E196" s="13">
        <f>SUMIF(SIGAF!$B$2:$B$547,$A196,SIGAF!$H$2:$H$547)</f>
        <v>0</v>
      </c>
      <c r="F196" s="67">
        <f t="shared" si="35"/>
        <v>0</v>
      </c>
      <c r="G196" s="13">
        <f>SUMIF(SIGAF!$B$2:$B$547,$A196,SIGAF!$I$2:$I$547)</f>
        <v>0</v>
      </c>
      <c r="H196" s="67">
        <f t="shared" si="36"/>
        <v>0</v>
      </c>
      <c r="I196" s="13">
        <f>SUMIF(SIGAF!$B$2:$B$547,$A196,SIGAF!$J$2:$J$547)</f>
        <v>0</v>
      </c>
      <c r="J196" s="67">
        <f t="shared" si="36"/>
        <v>0</v>
      </c>
      <c r="K196" s="13">
        <f>SUMIF(SIGAF!$B$2:$B$547,$A196,SIGAF!$K$2:$K$547)</f>
        <v>0</v>
      </c>
      <c r="L196" s="142">
        <f t="shared" si="40"/>
        <v>0</v>
      </c>
      <c r="M196" s="13">
        <f>SUMIF(SIGAF!$B$2:$B$547,$A196,SIGAF!$L$2:$L$547)</f>
        <v>0</v>
      </c>
      <c r="N196" s="67">
        <f t="shared" si="37"/>
        <v>0</v>
      </c>
      <c r="O196" s="86">
        <f>SUMIF(SIGAF!$B$2:$B$547,$A196,SIGAF!$M$2:$M$547)</f>
        <v>0</v>
      </c>
      <c r="P196" s="67">
        <f t="shared" si="38"/>
        <v>0</v>
      </c>
      <c r="Q196" s="13">
        <f>SUMIF(SIGAF!$B$2:$B$547,$A196,SIGAF!$N$2:$N$547)</f>
        <v>0</v>
      </c>
      <c r="R196" s="67">
        <f t="shared" si="39"/>
        <v>0</v>
      </c>
    </row>
    <row r="197" spans="1:18" s="23" customFormat="1" x14ac:dyDescent="0.25">
      <c r="A197" s="21" t="s">
        <v>602</v>
      </c>
      <c r="B197" s="21" t="s">
        <v>603</v>
      </c>
      <c r="C197" s="35">
        <f t="shared" ref="C197:E198" si="62">+C198</f>
        <v>1113822319</v>
      </c>
      <c r="D197" s="35">
        <f t="shared" si="62"/>
        <v>835050754</v>
      </c>
      <c r="E197" s="35">
        <f t="shared" si="62"/>
        <v>0</v>
      </c>
      <c r="F197" s="67">
        <f t="shared" si="35"/>
        <v>0</v>
      </c>
      <c r="G197" s="35">
        <f>+G198</f>
        <v>0</v>
      </c>
      <c r="H197" s="67">
        <f t="shared" si="36"/>
        <v>0</v>
      </c>
      <c r="I197" s="35">
        <f>+I198</f>
        <v>0</v>
      </c>
      <c r="J197" s="67">
        <f t="shared" si="36"/>
        <v>0</v>
      </c>
      <c r="K197" s="35">
        <f>+K198</f>
        <v>0</v>
      </c>
      <c r="L197" s="142">
        <f t="shared" si="40"/>
        <v>0</v>
      </c>
      <c r="M197" s="35">
        <f>+M198</f>
        <v>0</v>
      </c>
      <c r="N197" s="67">
        <f t="shared" si="37"/>
        <v>0</v>
      </c>
      <c r="O197" s="35">
        <f>+O198</f>
        <v>1113822319</v>
      </c>
      <c r="P197" s="67">
        <f t="shared" si="38"/>
        <v>1</v>
      </c>
      <c r="Q197" s="35">
        <f>+Q198</f>
        <v>835050754</v>
      </c>
      <c r="R197" s="67">
        <f t="shared" si="38"/>
        <v>0.74971630551425505</v>
      </c>
    </row>
    <row r="198" spans="1:18" ht="26.25" x14ac:dyDescent="0.25">
      <c r="A198" s="11" t="s">
        <v>600</v>
      </c>
      <c r="B198" s="160" t="s">
        <v>601</v>
      </c>
      <c r="C198" s="13">
        <f t="shared" si="62"/>
        <v>1113822319</v>
      </c>
      <c r="D198" s="13">
        <f t="shared" si="62"/>
        <v>835050754</v>
      </c>
      <c r="E198" s="13">
        <f t="shared" si="62"/>
        <v>0</v>
      </c>
      <c r="F198" s="67">
        <f t="shared" si="35"/>
        <v>0</v>
      </c>
      <c r="G198" s="13">
        <f>+G199</f>
        <v>0</v>
      </c>
      <c r="H198" s="67">
        <f t="shared" si="36"/>
        <v>0</v>
      </c>
      <c r="I198" s="13">
        <f>+I199</f>
        <v>0</v>
      </c>
      <c r="J198" s="67">
        <f t="shared" si="36"/>
        <v>0</v>
      </c>
      <c r="K198" s="13">
        <f>+K199</f>
        <v>0</v>
      </c>
      <c r="L198" s="142">
        <f t="shared" si="40"/>
        <v>0</v>
      </c>
      <c r="M198" s="13">
        <f>+M199</f>
        <v>0</v>
      </c>
      <c r="N198" s="67">
        <f t="shared" si="37"/>
        <v>0</v>
      </c>
      <c r="O198" s="13">
        <f>+O199</f>
        <v>1113822319</v>
      </c>
      <c r="P198" s="67">
        <f t="shared" si="38"/>
        <v>1</v>
      </c>
      <c r="Q198" s="13">
        <f>+Q199</f>
        <v>835050754</v>
      </c>
      <c r="R198" s="67">
        <f t="shared" si="38"/>
        <v>0.74971630551425505</v>
      </c>
    </row>
    <row r="199" spans="1:18" ht="26.25" x14ac:dyDescent="0.25">
      <c r="A199" s="11" t="s">
        <v>598</v>
      </c>
      <c r="B199" s="160" t="s">
        <v>599</v>
      </c>
      <c r="C199" s="13">
        <f>SUMIF(SIGAF!$B$2:$B$547,$A199,SIGAF!$F$2:$F$547)</f>
        <v>1113822319</v>
      </c>
      <c r="D199" s="13">
        <f>SUMIF(SIGAF!$B$2:$B$547,$A199,SIGAF!$G$2:$G$547)</f>
        <v>835050754</v>
      </c>
      <c r="E199" s="13">
        <f>SUMIF(SIGAF!$B$2:$B$547,$A199,SIGAF!$H$2:$H$547)</f>
        <v>0</v>
      </c>
      <c r="F199" s="67">
        <f t="shared" ref="F199" si="63">+IFERROR(+E199/$C199,0)</f>
        <v>0</v>
      </c>
      <c r="G199" s="13">
        <f>SUMIF(SIGAF!$B$2:$B$547,$A199,SIGAF!$I$2:$I$547)</f>
        <v>0</v>
      </c>
      <c r="H199" s="67">
        <f t="shared" ref="H199" si="64">+IFERROR(+G199/$C199,0)</f>
        <v>0</v>
      </c>
      <c r="I199" s="13">
        <f>SUMIF(SIGAF!$B$2:$B$547,$A199,SIGAF!$J$2:$J$547)</f>
        <v>0</v>
      </c>
      <c r="J199" s="67">
        <f t="shared" ref="J199" si="65">+IFERROR(+I199/$C199,0)</f>
        <v>0</v>
      </c>
      <c r="K199" s="13">
        <f>SUMIF(SIGAF!$B$2:$B$547,$A199,SIGAF!$K$2:$K$547)</f>
        <v>0</v>
      </c>
      <c r="L199" s="142">
        <f t="shared" ref="L199" si="66">+IFERROR(+K199/$C199,0)</f>
        <v>0</v>
      </c>
      <c r="M199" s="13">
        <f>SUMIF(SIGAF!$B$2:$B$547,$A199,SIGAF!$L$2:$L$547)</f>
        <v>0</v>
      </c>
      <c r="N199" s="67">
        <f t="shared" ref="N199" si="67">+IFERROR(+M199/$C199,0)</f>
        <v>0</v>
      </c>
      <c r="O199" s="86">
        <f>SUMIF(SIGAF!$B$2:$B$547,$A199,SIGAF!$M$2:$M$547)</f>
        <v>1113822319</v>
      </c>
      <c r="P199" s="67">
        <f t="shared" ref="P199" si="68">+IFERROR(+O199/$C199,0)</f>
        <v>1</v>
      </c>
      <c r="Q199" s="13">
        <f>SUMIF(SIGAF!$B$2:$B$547,$A199,SIGAF!$N$2:$N$547)</f>
        <v>835050754</v>
      </c>
      <c r="R199" s="67">
        <f t="shared" ref="R199" si="69">+IFERROR(+Q199/$C199,0)</f>
        <v>0.74971630551425505</v>
      </c>
    </row>
    <row r="200" spans="1:18" x14ac:dyDescent="0.25">
      <c r="A200" s="55">
        <v>214</v>
      </c>
      <c r="B200" s="55" t="s">
        <v>545</v>
      </c>
      <c r="C200" s="56">
        <f>+C11+C62+C116+C146+C161+C192+C197</f>
        <v>135812180151</v>
      </c>
      <c r="D200" s="56">
        <f t="shared" ref="D200:Q200" si="70">+D11+D62+D116+D146+D161+D192+D197</f>
        <v>135533408585.8</v>
      </c>
      <c r="E200" s="56">
        <f t="shared" si="70"/>
        <v>145678860.28</v>
      </c>
      <c r="F200" s="57">
        <f t="shared" si="35"/>
        <v>1.0726494495414912E-3</v>
      </c>
      <c r="G200" s="56">
        <f t="shared" si="70"/>
        <v>5240558036.1199989</v>
      </c>
      <c r="H200" s="57">
        <f t="shared" si="36"/>
        <v>3.8586804440466173E-2</v>
      </c>
      <c r="I200" s="56">
        <f t="shared" si="70"/>
        <v>0</v>
      </c>
      <c r="J200" s="57">
        <f t="shared" si="36"/>
        <v>0</v>
      </c>
      <c r="K200" s="56">
        <f>+K11+K62+K116+K146+K161+K192+K197</f>
        <v>113634002244.81999</v>
      </c>
      <c r="L200" s="139">
        <f>+IFERROR(+K200/$C200,0)</f>
        <v>0.83669964003580788</v>
      </c>
      <c r="M200" s="56">
        <f t="shared" si="70"/>
        <v>110084567665.66</v>
      </c>
      <c r="N200" s="57">
        <f t="shared" si="37"/>
        <v>0.81056476336117078</v>
      </c>
      <c r="O200" s="56">
        <f t="shared" si="70"/>
        <v>16791941009.780003</v>
      </c>
      <c r="P200" s="57">
        <f t="shared" si="38"/>
        <v>0.1236409060741844</v>
      </c>
      <c r="Q200" s="56">
        <f t="shared" si="70"/>
        <v>16513169444.580002</v>
      </c>
      <c r="R200" s="57">
        <f t="shared" si="39"/>
        <v>0.12158828041947468</v>
      </c>
    </row>
    <row r="201" spans="1:18" x14ac:dyDescent="0.25">
      <c r="C201" s="34">
        <f>+C200-SIGAF!F2</f>
        <v>0</v>
      </c>
      <c r="D201" s="34">
        <f>+D200-SIGAF!G2</f>
        <v>0</v>
      </c>
      <c r="E201" s="34">
        <f>+E200-SIGAF!H2</f>
        <v>0</v>
      </c>
      <c r="F201" s="34"/>
      <c r="G201" s="34">
        <f>+G200-SIGAF!I2</f>
        <v>0</v>
      </c>
      <c r="I201" s="34">
        <f>+I200-SIGAF!J2</f>
        <v>0</v>
      </c>
      <c r="K201" s="34">
        <f>+K200-SIGAF!K2</f>
        <v>0</v>
      </c>
      <c r="M201" s="34">
        <f>+M200-SIGAF!L2</f>
        <v>0</v>
      </c>
      <c r="O201" s="34">
        <f>+O200-SIGAF!M2</f>
        <v>0</v>
      </c>
      <c r="Q201" s="34">
        <f>+Q200-SIGAF!N2</f>
        <v>0</v>
      </c>
    </row>
    <row r="203" spans="1:18" hidden="1" x14ac:dyDescent="0.25">
      <c r="K203" s="65" t="s">
        <v>610</v>
      </c>
      <c r="L203" s="63"/>
      <c r="O203" s="89" t="s">
        <v>611</v>
      </c>
      <c r="P203" s="64"/>
    </row>
    <row r="213" spans="11:11" x14ac:dyDescent="0.25">
      <c r="K213" s="33"/>
    </row>
    <row r="214" spans="11:11" x14ac:dyDescent="0.25">
      <c r="K214" s="163"/>
    </row>
  </sheetData>
  <mergeCells count="6">
    <mergeCell ref="A1:R1"/>
    <mergeCell ref="A2:R2"/>
    <mergeCell ref="A3:R3"/>
    <mergeCell ref="A5:R5"/>
    <mergeCell ref="A6:R6"/>
    <mergeCell ref="A4:R4"/>
  </mergeCells>
  <conditionalFormatting sqref="L10:L199">
    <cfRule type="cellIs" dxfId="5" priority="15" operator="lessThan">
      <formula>0.75</formula>
    </cfRule>
  </conditionalFormatting>
  <conditionalFormatting sqref="P10:P199">
    <cfRule type="cellIs" dxfId="4" priority="14" operator="greaterThan">
      <formula>0.25</formula>
    </cfRule>
  </conditionalFormatting>
  <conditionalFormatting sqref="R197">
    <cfRule type="cellIs" dxfId="3" priority="7" operator="greaterThan">
      <formula>0.5</formula>
    </cfRule>
  </conditionalFormatting>
  <conditionalFormatting sqref="R198">
    <cfRule type="cellIs" dxfId="2" priority="2" operator="greaterThan">
      <formula>0.5</formula>
    </cfRule>
  </conditionalFormatting>
  <conditionalFormatting sqref="R199">
    <cfRule type="cellIs" dxfId="1" priority="1" operator="greaterThan">
      <formula>0.5</formula>
    </cfRule>
  </conditionalFormatting>
  <printOptions horizontalCentered="1"/>
  <pageMargins left="0.11811023622047245" right="0.11811023622047245" top="0.15748031496062992" bottom="0.15748031496062992" header="0.31496062992125984" footer="0.31496062992125984"/>
  <pageSetup scale="61" fitToHeight="0" orientation="landscape" verticalDpi="597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790"/>
  <sheetViews>
    <sheetView tabSelected="1" topLeftCell="B1" zoomScale="84" zoomScaleNormal="84" workbookViewId="0">
      <selection activeCell="B31" sqref="B31"/>
    </sheetView>
  </sheetViews>
  <sheetFormatPr baseColWidth="10" defaultRowHeight="15" x14ac:dyDescent="0.25"/>
  <cols>
    <col min="1" max="1" width="7.28515625" hidden="1" customWidth="1"/>
    <col min="2" max="2" width="37.85546875" bestFit="1" customWidth="1"/>
    <col min="3" max="3" width="21" bestFit="1" customWidth="1"/>
    <col min="4" max="4" width="23.140625" bestFit="1" customWidth="1"/>
    <col min="5" max="5" width="17.140625" bestFit="1" customWidth="1"/>
    <col min="6" max="6" width="18.28515625" bestFit="1" customWidth="1"/>
    <col min="7" max="7" width="14.140625" bestFit="1" customWidth="1"/>
    <col min="8" max="8" width="19.7109375" bestFit="1" customWidth="1"/>
    <col min="9" max="9" width="14.7109375" bestFit="1" customWidth="1"/>
    <col min="10" max="10" width="18.28515625" bestFit="1" customWidth="1"/>
    <col min="11" max="11" width="9.28515625" bestFit="1" customWidth="1"/>
    <col min="12" max="12" width="28.140625" bestFit="1" customWidth="1"/>
    <col min="13" max="13" width="28.42578125" bestFit="1" customWidth="1"/>
    <col min="14" max="14" width="17.42578125" bestFit="1" customWidth="1"/>
    <col min="18" max="18" width="37.85546875" bestFit="1" customWidth="1"/>
    <col min="19" max="19" width="16.85546875" bestFit="1" customWidth="1"/>
    <col min="20" max="20" width="18.5703125" bestFit="1" customWidth="1"/>
    <col min="21" max="21" width="20.85546875" bestFit="1" customWidth="1"/>
    <col min="22" max="22" width="8.85546875" customWidth="1"/>
    <col min="23" max="23" width="19.7109375" bestFit="1" customWidth="1"/>
    <col min="24" max="24" width="8.42578125" customWidth="1"/>
  </cols>
  <sheetData>
    <row r="1" spans="1:19" ht="15.75" x14ac:dyDescent="0.25">
      <c r="B1" s="189" t="s">
        <v>57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36"/>
      <c r="P1" s="36"/>
      <c r="Q1" s="36"/>
      <c r="R1" s="36"/>
      <c r="S1" s="37"/>
    </row>
    <row r="2" spans="1:19" ht="15" customHeight="1" x14ac:dyDescent="0.25">
      <c r="B2" s="189" t="str">
        <f>+Estado!A4</f>
        <v xml:space="preserve">AL 31 DE DICIEMBRE 2017        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9" ht="15" customHeight="1" x14ac:dyDescent="0.25">
      <c r="B3" s="189" t="s">
        <v>55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38"/>
      <c r="P3" s="38"/>
      <c r="Q3" s="38"/>
      <c r="R3" s="38"/>
      <c r="S3" s="39"/>
    </row>
    <row r="5" spans="1:19" ht="17.25" hidden="1" x14ac:dyDescent="0.25">
      <c r="B5" s="198" t="s">
        <v>0</v>
      </c>
      <c r="C5" s="198" t="s">
        <v>1</v>
      </c>
      <c r="D5" s="198" t="s">
        <v>2</v>
      </c>
      <c r="E5" s="198" t="s">
        <v>3</v>
      </c>
      <c r="F5" s="145" t="s">
        <v>4</v>
      </c>
      <c r="G5" s="145"/>
      <c r="H5" s="145"/>
      <c r="I5" s="115"/>
      <c r="J5" s="150"/>
      <c r="K5" s="150"/>
      <c r="L5" s="198" t="s">
        <v>6</v>
      </c>
      <c r="M5" s="198" t="s">
        <v>7</v>
      </c>
      <c r="N5" s="198" t="s">
        <v>8</v>
      </c>
    </row>
    <row r="6" spans="1:19" ht="34.5" x14ac:dyDescent="0.25">
      <c r="B6" s="198"/>
      <c r="C6" s="198"/>
      <c r="D6" s="198"/>
      <c r="E6" s="198"/>
      <c r="F6" s="115" t="s">
        <v>43</v>
      </c>
      <c r="G6" s="115" t="s">
        <v>31</v>
      </c>
      <c r="H6" s="115" t="s">
        <v>33</v>
      </c>
      <c r="I6" s="115" t="s">
        <v>568</v>
      </c>
      <c r="J6" s="150" t="s">
        <v>594</v>
      </c>
      <c r="K6" s="150" t="s">
        <v>595</v>
      </c>
      <c r="L6" s="198"/>
      <c r="M6" s="198"/>
      <c r="N6" s="198"/>
    </row>
    <row r="7" spans="1:19" ht="16.5" x14ac:dyDescent="0.25">
      <c r="A7" s="117" t="str">
        <f>+Estado!A11</f>
        <v>E-0</v>
      </c>
      <c r="B7" s="118" t="s">
        <v>9</v>
      </c>
      <c r="C7" s="16">
        <f>SUMIF(Estado!$A$9:$A$368,$A7,Estado!$C$9:$C$368)</f>
        <v>86418080010.330002</v>
      </c>
      <c r="D7" s="16">
        <f>SUMIF(Estado!$A$9:$A$368,$A7,Estado!$D$9:$D$368)</f>
        <v>86418080010.330002</v>
      </c>
      <c r="E7" s="16">
        <f>SUMIF(Estado!$A$9:$A$368,$A7,Estado!$E$9:$E$368)</f>
        <v>0</v>
      </c>
      <c r="F7" s="16">
        <f>SUMIF(Estado!$A$9:$A$368,$A7,Estado!$G$9:$G$368)</f>
        <v>1970723.45</v>
      </c>
      <c r="G7" s="16">
        <f>SUMIF(Estado!$A$9:$A$368,$A7,Estado!$I$9:$I$368)</f>
        <v>0</v>
      </c>
      <c r="H7" s="16">
        <f>SUMIF(Estado!$A$9:$A$368,$A7,Estado!$K$9:$K$368)</f>
        <v>82017714248.119995</v>
      </c>
      <c r="I7" s="31">
        <f t="shared" ref="I7:I14" si="0">+H7/C7</f>
        <v>0.94908049609891809</v>
      </c>
      <c r="J7" s="16">
        <f>+F7+H7</f>
        <v>82019684971.569992</v>
      </c>
      <c r="K7" s="31">
        <f>+J7/C7</f>
        <v>0.94910330062604664</v>
      </c>
      <c r="L7" s="16">
        <f>SUMIF(Estado!$A$9:$A$368,$A7,Estado!$O$9:$O$368)</f>
        <v>4398395038.7600002</v>
      </c>
      <c r="M7" s="18">
        <f t="shared" ref="M7:M14" si="1">SUM(F7:H7)/C7</f>
        <v>0.94910330062604664</v>
      </c>
      <c r="N7" s="31">
        <f t="shared" ref="N7:N14" si="2">+L7/C7</f>
        <v>5.0896699373953198E-2</v>
      </c>
    </row>
    <row r="8" spans="1:19" ht="16.5" x14ac:dyDescent="0.25">
      <c r="A8" s="117" t="str">
        <f>+Estado!A62</f>
        <v>E-1</v>
      </c>
      <c r="B8" s="118" t="s">
        <v>10</v>
      </c>
      <c r="C8" s="16">
        <f>SUMIF(Estado!$A$9:$A$368,$A8,Estado!$C$9:$C$368)</f>
        <v>11993820926</v>
      </c>
      <c r="D8" s="16">
        <f>SUMIF(Estado!$A$9:$A$368,$A8,Estado!$D$9:$D$368)</f>
        <v>11993820926</v>
      </c>
      <c r="E8" s="16">
        <f>SUMIF(Estado!$A$9:$A$368,$A8,Estado!$E$9:$E$368)</f>
        <v>0</v>
      </c>
      <c r="F8" s="16">
        <f>SUMIF(Estado!$A$9:$A$368,$A8,Estado!$G$9:$G$368)</f>
        <v>1951749900.28</v>
      </c>
      <c r="G8" s="16">
        <f>SUMIF(Estado!$A$9:$A$368,$A8,Estado!$I$9:$I$368)</f>
        <v>0</v>
      </c>
      <c r="H8" s="16">
        <f>SUMIF(Estado!$A$9:$A$368,$A8,Estado!$K$9:$K$368)</f>
        <v>8936854270.1399994</v>
      </c>
      <c r="I8" s="31">
        <f t="shared" si="0"/>
        <v>0.74512153593746255</v>
      </c>
      <c r="J8" s="16">
        <f t="shared" ref="J8:J12" si="3">+F8+H8</f>
        <v>10888604170.42</v>
      </c>
      <c r="K8" s="31">
        <f t="shared" ref="K8:K14" si="4">+J8/C8</f>
        <v>0.90785115415687678</v>
      </c>
      <c r="L8" s="16">
        <f>SUMIF(Estado!$A$9:$A$368,$A8,Estado!$O$9:$O$368)</f>
        <v>1105216755.5799999</v>
      </c>
      <c r="M8" s="18">
        <f t="shared" si="1"/>
        <v>0.90785115415687678</v>
      </c>
      <c r="N8" s="31">
        <f t="shared" si="2"/>
        <v>9.2148845843123259E-2</v>
      </c>
    </row>
    <row r="9" spans="1:19" ht="16.5" x14ac:dyDescent="0.25">
      <c r="A9" s="117" t="str">
        <f>+Estado!A116</f>
        <v>E-2</v>
      </c>
      <c r="B9" s="118" t="s">
        <v>569</v>
      </c>
      <c r="C9" s="16">
        <f>SUMIF(Estado!$A$9:$A$368,$A9,Estado!$C$9:$C$368)</f>
        <v>17156319741.66</v>
      </c>
      <c r="D9" s="16">
        <f>SUMIF(Estado!$A$9:$A$368,$A9,Estado!$D$9:$D$368)</f>
        <v>17156319741.66</v>
      </c>
      <c r="E9" s="16">
        <f>SUMIF(Estado!$A$9:$A$368,$A9,Estado!$E$9:$E$368)</f>
        <v>112744985.28</v>
      </c>
      <c r="F9" s="16">
        <f>SUMIF(Estado!$A$9:$A$368,$A9,Estado!$G$9:$G$368)</f>
        <v>2067001096.8799999</v>
      </c>
      <c r="G9" s="16">
        <f>SUMIF(Estado!$A$9:$A$368,$A9,Estado!$I$9:$I$368)</f>
        <v>0</v>
      </c>
      <c r="H9" s="16">
        <f>SUMIF(Estado!$A$9:$A$368,$A9,Estado!$K$9:$K$368)</f>
        <v>12538732111.809999</v>
      </c>
      <c r="I9" s="31">
        <f t="shared" si="0"/>
        <v>0.73085208836267501</v>
      </c>
      <c r="J9" s="16">
        <f t="shared" si="3"/>
        <v>14605733208.689999</v>
      </c>
      <c r="K9" s="31">
        <f t="shared" si="4"/>
        <v>0.85133253685074928</v>
      </c>
      <c r="L9" s="16">
        <f>SUMIF(Estado!$A$9:$A$368,$A9,Estado!$O$9:$O$368)</f>
        <v>2437841547.6900001</v>
      </c>
      <c r="M9" s="18">
        <f t="shared" si="1"/>
        <v>0.85133253685074928</v>
      </c>
      <c r="N9" s="31">
        <f t="shared" si="2"/>
        <v>0.1420958331623004</v>
      </c>
    </row>
    <row r="10" spans="1:19" ht="16.5" x14ac:dyDescent="0.25">
      <c r="A10" s="117" t="str">
        <f>+Estado!A146</f>
        <v>E-5</v>
      </c>
      <c r="B10" s="118" t="s">
        <v>12</v>
      </c>
      <c r="C10" s="16">
        <f>SUMIF(Estado!$A$9:$A$368,$A10,Estado!$C$9:$C$368)</f>
        <v>5429424918</v>
      </c>
      <c r="D10" s="16">
        <f>SUMIF(Estado!$A$9:$A$368,$A10,Estado!$D$9:$D$368)</f>
        <v>5429424918</v>
      </c>
      <c r="E10" s="16">
        <f>SUMIF(Estado!$A$9:$A$368,$A10,Estado!$E$9:$E$368)</f>
        <v>32933875</v>
      </c>
      <c r="F10" s="16">
        <f>SUMIF(Estado!$A$9:$A$368,$A10,Estado!$G$9:$G$368)</f>
        <v>1071287577.52</v>
      </c>
      <c r="G10" s="16">
        <f>SUMIF(Estado!$A$9:$A$368,$A10,Estado!$I$9:$I$368)</f>
        <v>0</v>
      </c>
      <c r="H10" s="16">
        <f>SUMIF(Estado!$A$9:$A$368,$A10,Estado!$K$9:$K$368)</f>
        <v>2893922785.27</v>
      </c>
      <c r="I10" s="31">
        <f t="shared" si="0"/>
        <v>0.53300723906796643</v>
      </c>
      <c r="J10" s="16">
        <f t="shared" si="3"/>
        <v>3965210362.79</v>
      </c>
      <c r="K10" s="31">
        <f t="shared" si="4"/>
        <v>0.73031866591326533</v>
      </c>
      <c r="L10" s="16">
        <f>SUMIF(Estado!$A$9:$A$368,$A10,Estado!$O$9:$O$368)</f>
        <v>1431280680.21</v>
      </c>
      <c r="M10" s="18">
        <f t="shared" si="1"/>
        <v>0.73031866591326533</v>
      </c>
      <c r="N10" s="31">
        <f t="shared" si="2"/>
        <v>0.26361552131698529</v>
      </c>
    </row>
    <row r="11" spans="1:19" ht="16.5" x14ac:dyDescent="0.25">
      <c r="A11" s="117" t="str">
        <f>+Estado!A161</f>
        <v>E-6</v>
      </c>
      <c r="B11" s="118" t="s">
        <v>13</v>
      </c>
      <c r="C11" s="16">
        <f>SUMIF(Estado!$A$9:$A$368,$A11,Estado!$C$9:$C$368)</f>
        <v>3621508798.0100002</v>
      </c>
      <c r="D11" s="16">
        <f>SUMIF(Estado!$A$9:$A$368,$A11,Estado!$D$9:$D$368)</f>
        <v>3621508798.0100002</v>
      </c>
      <c r="E11" s="16">
        <f>SUMIF(Estado!$A$9:$A$368,$A11,Estado!$E$9:$E$368)</f>
        <v>0</v>
      </c>
      <c r="F11" s="16">
        <f>SUMIF(Estado!$A$9:$A$368,$A11,Estado!$G$9:$G$368)</f>
        <v>148548737.99000001</v>
      </c>
      <c r="G11" s="16">
        <f>SUMIF(Estado!$A$9:$A$368,$A11,Estado!$I$9:$I$368)</f>
        <v>0</v>
      </c>
      <c r="H11" s="16">
        <f>SUMIF(Estado!$A$9:$A$368,$A11,Estado!$K$9:$K$368)</f>
        <v>3103792829.48</v>
      </c>
      <c r="I11" s="31">
        <f t="shared" si="0"/>
        <v>0.85704412237946725</v>
      </c>
      <c r="J11" s="16">
        <f t="shared" si="3"/>
        <v>3252341567.4700003</v>
      </c>
      <c r="K11" s="31">
        <f t="shared" si="4"/>
        <v>0.89806258906706082</v>
      </c>
      <c r="L11" s="16">
        <f>SUMIF(Estado!$A$9:$A$368,$A11,Estado!$O$9:$O$368)</f>
        <v>369167230.54000002</v>
      </c>
      <c r="M11" s="18">
        <f t="shared" si="1"/>
        <v>0.89806258906706082</v>
      </c>
      <c r="N11" s="31">
        <f t="shared" si="2"/>
        <v>0.10193741093293918</v>
      </c>
    </row>
    <row r="12" spans="1:19" ht="16.5" x14ac:dyDescent="0.25">
      <c r="A12" t="str">
        <f>+Estado!A192</f>
        <v>E-7</v>
      </c>
      <c r="B12" s="118" t="s">
        <v>14</v>
      </c>
      <c r="C12" s="16">
        <f>SUMIF(Estado!$A$9:$A$368,$A12,Estado!$C$9:$C$368)</f>
        <v>10079203438</v>
      </c>
      <c r="D12" s="16">
        <f>SUMIF(Estado!$A$9:$A$368,$A12,Estado!$D$9:$D$368)</f>
        <v>10079203437.799999</v>
      </c>
      <c r="E12" s="16">
        <f>SUMIF(Estado!$A$9:$A$368,$A12,Estado!$E$9:$E$368)</f>
        <v>0</v>
      </c>
      <c r="F12" s="16">
        <f>SUMIF(Estado!$A$9:$A$368,$A12,Estado!$G$9:$G$368)</f>
        <v>0</v>
      </c>
      <c r="G12" s="16">
        <f>SUMIF(Estado!$A$9:$A$368,$A12,Estado!$I$9:$I$368)</f>
        <v>0</v>
      </c>
      <c r="H12" s="16">
        <f>SUMIF(Estado!$A$9:$A$368,$A12,Estado!$K$9:$K$368)</f>
        <v>4142986000</v>
      </c>
      <c r="I12" s="31">
        <f t="shared" si="0"/>
        <v>0.41104299813816297</v>
      </c>
      <c r="J12" s="16">
        <f t="shared" si="3"/>
        <v>4142986000</v>
      </c>
      <c r="K12" s="31">
        <f t="shared" si="4"/>
        <v>0.41104299813816297</v>
      </c>
      <c r="L12" s="16">
        <f>SUMIF(Estado!$A$9:$A$368,$A12,Estado!$O$9:$O$368)</f>
        <v>5936217438</v>
      </c>
      <c r="M12" s="18">
        <f t="shared" si="1"/>
        <v>0.41104299813816297</v>
      </c>
      <c r="N12" s="31">
        <f t="shared" si="2"/>
        <v>0.58895700186183697</v>
      </c>
    </row>
    <row r="13" spans="1:19" ht="16.5" x14ac:dyDescent="0.25">
      <c r="A13" t="str">
        <f>+Estado!A197</f>
        <v>E-9</v>
      </c>
      <c r="B13" s="118" t="s">
        <v>606</v>
      </c>
      <c r="C13" s="16">
        <f>SUMIF(Estado!$A$9:$A$368,$A13,Estado!$C$9:$C$368)</f>
        <v>1113822319</v>
      </c>
      <c r="D13" s="16">
        <f>SUMIF(Estado!$A$9:$A$368,$A13,Estado!$D$9:$D$368)</f>
        <v>835050754</v>
      </c>
      <c r="E13" s="16">
        <f>SUMIF(Estado!$A$9:$A$368,$A13,Estado!$E$9:$E$368)</f>
        <v>0</v>
      </c>
      <c r="F13" s="16">
        <f>SUMIF(Estado!$A$9:$A$368,$A13,Estado!$G$9:$G$368)</f>
        <v>0</v>
      </c>
      <c r="G13" s="16">
        <f>SUMIF(Estado!$A$9:$A$368,$A13,Estado!$I$9:$I$368)</f>
        <v>0</v>
      </c>
      <c r="H13" s="16">
        <f>SUMIF(Estado!$A$9:$A$368,$A13,Estado!$K$9:$K$368)</f>
        <v>0</v>
      </c>
      <c r="I13" s="31">
        <f>+H13/C13</f>
        <v>0</v>
      </c>
      <c r="J13" s="16">
        <f t="shared" ref="J13" si="5">+F13+H13</f>
        <v>0</v>
      </c>
      <c r="K13" s="31">
        <f t="shared" ref="K13" si="6">+J13/C13</f>
        <v>0</v>
      </c>
      <c r="L13" s="16">
        <f>SUMIF(Estado!$A$9:$A$368,$A13,Estado!$O$9:$O$368)</f>
        <v>1113822319</v>
      </c>
      <c r="M13" s="18">
        <f t="shared" ref="M13" si="7">SUM(F13:H13)/C13</f>
        <v>0</v>
      </c>
      <c r="N13" s="31">
        <f t="shared" ref="N13" si="8">+L13/C13</f>
        <v>1</v>
      </c>
    </row>
    <row r="14" spans="1:19" ht="17.25" x14ac:dyDescent="0.25">
      <c r="B14" s="119" t="s">
        <v>15</v>
      </c>
      <c r="C14" s="120">
        <f t="shared" ref="C14:H14" si="9">SUM(C7:C13)</f>
        <v>135812180151</v>
      </c>
      <c r="D14" s="120">
        <f t="shared" si="9"/>
        <v>135533408585.8</v>
      </c>
      <c r="E14" s="120">
        <f t="shared" si="9"/>
        <v>145678860.28</v>
      </c>
      <c r="F14" s="120">
        <f t="shared" si="9"/>
        <v>5240558036.1199989</v>
      </c>
      <c r="G14" s="120">
        <f t="shared" si="9"/>
        <v>0</v>
      </c>
      <c r="H14" s="120">
        <f t="shared" si="9"/>
        <v>113634002244.81999</v>
      </c>
      <c r="I14" s="149">
        <f t="shared" si="0"/>
        <v>0.83669964003580788</v>
      </c>
      <c r="J14" s="120">
        <f>SUM(J7:J13)</f>
        <v>118874560280.93999</v>
      </c>
      <c r="K14" s="149">
        <f t="shared" si="4"/>
        <v>0.87528644447627402</v>
      </c>
      <c r="L14" s="120">
        <f>SUM(L7:L13)</f>
        <v>16791941009.780003</v>
      </c>
      <c r="M14" s="121">
        <f t="shared" si="1"/>
        <v>0.87528644447627402</v>
      </c>
      <c r="N14" s="149">
        <f t="shared" si="2"/>
        <v>0.1236409060741844</v>
      </c>
    </row>
    <row r="15" spans="1:19" ht="16.5" x14ac:dyDescent="0.25">
      <c r="B15" s="4"/>
      <c r="C15" s="20">
        <f>+C14-Estado!C200</f>
        <v>0</v>
      </c>
      <c r="D15" s="20">
        <f>+D14-Estado!D200</f>
        <v>0</v>
      </c>
      <c r="E15" s="20">
        <f>+E14-Estado!E200</f>
        <v>0</v>
      </c>
      <c r="F15" s="20">
        <f>+F14-Estado!G10</f>
        <v>0</v>
      </c>
      <c r="G15" s="20">
        <f>+G14-Estado!I10</f>
        <v>0</v>
      </c>
      <c r="H15" s="20">
        <f>+H14-Estado!K10</f>
        <v>0</v>
      </c>
      <c r="I15" s="20"/>
      <c r="J15" s="20"/>
      <c r="K15" s="20"/>
      <c r="L15" s="20">
        <f>+C14-F14-H14-E14-G14-L14</f>
        <v>0</v>
      </c>
      <c r="M15" s="5"/>
      <c r="N15" s="5"/>
    </row>
    <row r="16" spans="1:19" ht="17.25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17"/>
      <c r="M16" s="4"/>
      <c r="N16" s="4"/>
    </row>
    <row r="17" spans="2:24" ht="51" hidden="1" customHeight="1" thickBot="1" x14ac:dyDescent="0.25">
      <c r="B17" s="199" t="s">
        <v>16</v>
      </c>
      <c r="C17" s="199" t="s">
        <v>1</v>
      </c>
      <c r="D17" s="199" t="s">
        <v>2</v>
      </c>
      <c r="E17" s="199" t="s">
        <v>3</v>
      </c>
      <c r="F17" s="201" t="s">
        <v>4</v>
      </c>
      <c r="G17" s="202"/>
      <c r="H17" s="203"/>
      <c r="I17" s="157"/>
      <c r="J17" s="157"/>
      <c r="K17" s="157"/>
      <c r="L17" s="199" t="s">
        <v>6</v>
      </c>
      <c r="M17" s="199" t="s">
        <v>7</v>
      </c>
      <c r="N17" s="199" t="s">
        <v>8</v>
      </c>
    </row>
    <row r="18" spans="2:24" ht="34.5" customHeight="1" x14ac:dyDescent="0.25">
      <c r="B18" s="200"/>
      <c r="C18" s="200"/>
      <c r="D18" s="200"/>
      <c r="E18" s="200"/>
      <c r="F18" s="157" t="s">
        <v>43</v>
      </c>
      <c r="G18" s="157" t="s">
        <v>31</v>
      </c>
      <c r="H18" s="157" t="s">
        <v>33</v>
      </c>
      <c r="I18" s="157" t="s">
        <v>568</v>
      </c>
      <c r="J18" s="157" t="s">
        <v>594</v>
      </c>
      <c r="K18" s="157" t="s">
        <v>595</v>
      </c>
      <c r="L18" s="200"/>
      <c r="M18" s="200"/>
      <c r="N18" s="200"/>
      <c r="R18" s="165" t="s">
        <v>16</v>
      </c>
      <c r="S18" s="165" t="s">
        <v>3</v>
      </c>
      <c r="T18" s="164" t="s">
        <v>43</v>
      </c>
      <c r="U18" s="164" t="s">
        <v>33</v>
      </c>
      <c r="V18" s="164" t="s">
        <v>623</v>
      </c>
      <c r="W18" s="165" t="s">
        <v>6</v>
      </c>
      <c r="X18" s="165" t="s">
        <v>624</v>
      </c>
    </row>
    <row r="19" spans="2:24" ht="16.5" x14ac:dyDescent="0.25">
      <c r="B19" s="122" t="s">
        <v>17</v>
      </c>
      <c r="C19" s="16">
        <f>+C7+Estado!C183</f>
        <v>86842080010.330002</v>
      </c>
      <c r="D19" s="16">
        <f>+D7+Estado!D183</f>
        <v>86842080010.330002</v>
      </c>
      <c r="E19" s="16">
        <f>+E7+Estado!E183</f>
        <v>0</v>
      </c>
      <c r="F19" s="16">
        <f>+F7+Estado!G183</f>
        <v>1970723.45</v>
      </c>
      <c r="G19" s="16">
        <f>+G7+Estado!I183</f>
        <v>0</v>
      </c>
      <c r="H19" s="16">
        <f>+H7+Estado!K183</f>
        <v>82380301664.089996</v>
      </c>
      <c r="I19" s="158">
        <f t="shared" ref="I19:I25" si="10">+H19/C19</f>
        <v>0.94862193137578843</v>
      </c>
      <c r="J19" s="16">
        <f t="shared" ref="J19:J23" si="11">+F19+H19</f>
        <v>82382272387.539993</v>
      </c>
      <c r="K19" s="31">
        <f t="shared" ref="K19:K25" si="12">+J19/C19</f>
        <v>0.94864462456150855</v>
      </c>
      <c r="L19" s="16">
        <f>+L7+Estado!O183</f>
        <v>4459807622.79</v>
      </c>
      <c r="M19" s="18">
        <f t="shared" ref="M19:M25" si="13">SUM(F19:H19)/C19</f>
        <v>0.94864462456150855</v>
      </c>
      <c r="N19" s="158">
        <f t="shared" ref="N19:N25" si="14">+L19/C19</f>
        <v>5.1355375438491328E-2</v>
      </c>
      <c r="O19" s="131">
        <f>+F19/C19</f>
        <v>2.2693185720166758E-5</v>
      </c>
      <c r="R19" s="122" t="s">
        <v>17</v>
      </c>
      <c r="S19" s="176">
        <v>0</v>
      </c>
      <c r="T19" s="176">
        <v>1970723.45</v>
      </c>
      <c r="U19" s="176">
        <v>82380301664.089996</v>
      </c>
      <c r="V19" s="18">
        <f>+U19/C19</f>
        <v>0.94862193137578843</v>
      </c>
      <c r="W19" s="176">
        <v>4459807622.79</v>
      </c>
      <c r="X19" s="158">
        <f>+W19/C19</f>
        <v>5.1355375438491328E-2</v>
      </c>
    </row>
    <row r="20" spans="2:24" ht="16.5" x14ac:dyDescent="0.25">
      <c r="B20" s="122" t="s">
        <v>18</v>
      </c>
      <c r="C20" s="16">
        <f>+C8+C9</f>
        <v>29150140667.66</v>
      </c>
      <c r="D20" s="16">
        <f t="shared" ref="D20:L20" si="15">+D8+D9</f>
        <v>29150140667.66</v>
      </c>
      <c r="E20" s="16">
        <f t="shared" si="15"/>
        <v>112744985.28</v>
      </c>
      <c r="F20" s="16">
        <f t="shared" si="15"/>
        <v>4018750997.1599998</v>
      </c>
      <c r="G20" s="16">
        <f t="shared" si="15"/>
        <v>0</v>
      </c>
      <c r="H20" s="16">
        <f t="shared" si="15"/>
        <v>21475586381.949997</v>
      </c>
      <c r="I20" s="158">
        <f t="shared" si="10"/>
        <v>0.73672325038814057</v>
      </c>
      <c r="J20" s="16">
        <f t="shared" si="11"/>
        <v>25494337379.109997</v>
      </c>
      <c r="K20" s="31">
        <f t="shared" si="12"/>
        <v>0.87458711331002748</v>
      </c>
      <c r="L20" s="16">
        <f t="shared" si="15"/>
        <v>3543058303.27</v>
      </c>
      <c r="M20" s="18">
        <f t="shared" si="13"/>
        <v>0.87458711331002748</v>
      </c>
      <c r="N20" s="158">
        <f t="shared" si="14"/>
        <v>0.1215451528575562</v>
      </c>
      <c r="R20" s="122" t="s">
        <v>18</v>
      </c>
      <c r="S20" s="176">
        <v>112744985.28</v>
      </c>
      <c r="T20" s="176">
        <v>4018750997.1599998</v>
      </c>
      <c r="U20" s="176">
        <v>21475586381.949997</v>
      </c>
      <c r="V20" s="18">
        <f t="shared" ref="V20:V24" si="16">+U20/C20</f>
        <v>0.73672325038814057</v>
      </c>
      <c r="W20" s="176">
        <v>3543058303.27</v>
      </c>
      <c r="X20" s="158">
        <f t="shared" ref="X20:X24" si="17">+W20/C20</f>
        <v>0.1215451528575562</v>
      </c>
    </row>
    <row r="21" spans="2:24" ht="16.5" x14ac:dyDescent="0.25">
      <c r="B21" s="122" t="s">
        <v>19</v>
      </c>
      <c r="C21" s="16">
        <f>+C10</f>
        <v>5429424918</v>
      </c>
      <c r="D21" s="16">
        <f t="shared" ref="D21:L21" si="18">+D10</f>
        <v>5429424918</v>
      </c>
      <c r="E21" s="16">
        <f t="shared" si="18"/>
        <v>32933875</v>
      </c>
      <c r="F21" s="16">
        <f t="shared" si="18"/>
        <v>1071287577.52</v>
      </c>
      <c r="G21" s="16">
        <f t="shared" si="18"/>
        <v>0</v>
      </c>
      <c r="H21" s="16">
        <f t="shared" si="18"/>
        <v>2893922785.27</v>
      </c>
      <c r="I21" s="158">
        <f t="shared" si="10"/>
        <v>0.53300723906796643</v>
      </c>
      <c r="J21" s="16">
        <f t="shared" si="11"/>
        <v>3965210362.79</v>
      </c>
      <c r="K21" s="31">
        <f t="shared" si="12"/>
        <v>0.73031866591326533</v>
      </c>
      <c r="L21" s="16">
        <f t="shared" si="18"/>
        <v>1431280680.21</v>
      </c>
      <c r="M21" s="18">
        <f t="shared" si="13"/>
        <v>0.73031866591326533</v>
      </c>
      <c r="N21" s="158">
        <f t="shared" si="14"/>
        <v>0.26361552131698529</v>
      </c>
      <c r="R21" s="122" t="s">
        <v>19</v>
      </c>
      <c r="S21" s="176">
        <v>32933875</v>
      </c>
      <c r="T21" s="176">
        <v>1071287577.52</v>
      </c>
      <c r="U21" s="176">
        <v>2893922785.27</v>
      </c>
      <c r="V21" s="18">
        <f t="shared" si="16"/>
        <v>0.53300723906796643</v>
      </c>
      <c r="W21" s="176">
        <v>1431280680.21</v>
      </c>
      <c r="X21" s="158">
        <f t="shared" si="17"/>
        <v>0.26361552131698529</v>
      </c>
    </row>
    <row r="22" spans="2:24" ht="16.5" x14ac:dyDescent="0.25">
      <c r="B22" s="122" t="s">
        <v>20</v>
      </c>
      <c r="C22" s="16">
        <f>+C11-Estado!C183</f>
        <v>3197508798.0100002</v>
      </c>
      <c r="D22" s="16">
        <f>+D11-Estado!D183</f>
        <v>3197508798.0100002</v>
      </c>
      <c r="E22" s="16">
        <f>+E11-Estado!E183</f>
        <v>0</v>
      </c>
      <c r="F22" s="16">
        <f>+F11-Estado!G183</f>
        <v>148548737.99000001</v>
      </c>
      <c r="G22" s="16">
        <f>+G11-Estado!I183</f>
        <v>0</v>
      </c>
      <c r="H22" s="16">
        <f>+H11-Estado!K183</f>
        <v>2741205413.5100002</v>
      </c>
      <c r="I22" s="158">
        <f t="shared" si="10"/>
        <v>0.85729409570851389</v>
      </c>
      <c r="J22" s="16">
        <f t="shared" si="11"/>
        <v>2889754151.5</v>
      </c>
      <c r="K22" s="31">
        <f t="shared" si="12"/>
        <v>0.90375174363819288</v>
      </c>
      <c r="L22" s="16">
        <f>+L11-Estado!O183</f>
        <v>307754646.50999999</v>
      </c>
      <c r="M22" s="18">
        <f t="shared" si="13"/>
        <v>0.90375174363819288</v>
      </c>
      <c r="N22" s="158">
        <f t="shared" si="14"/>
        <v>9.6248256361807047E-2</v>
      </c>
      <c r="R22" s="122" t="s">
        <v>20</v>
      </c>
      <c r="S22" s="176">
        <v>0</v>
      </c>
      <c r="T22" s="176">
        <v>148548737.99000001</v>
      </c>
      <c r="U22" s="176">
        <v>2741205413.5100002</v>
      </c>
      <c r="V22" s="18">
        <f t="shared" si="16"/>
        <v>0.85729409570851389</v>
      </c>
      <c r="W22" s="176">
        <v>307754646.50999999</v>
      </c>
      <c r="X22" s="158">
        <f t="shared" si="17"/>
        <v>9.6248256361807047E-2</v>
      </c>
    </row>
    <row r="23" spans="2:24" ht="16.5" x14ac:dyDescent="0.25">
      <c r="B23" s="122" t="s">
        <v>21</v>
      </c>
      <c r="C23" s="16">
        <f>+C12</f>
        <v>10079203438</v>
      </c>
      <c r="D23" s="16">
        <f t="shared" ref="D23:L23" si="19">+D12</f>
        <v>10079203437.799999</v>
      </c>
      <c r="E23" s="16">
        <f t="shared" si="19"/>
        <v>0</v>
      </c>
      <c r="F23" s="16">
        <f t="shared" si="19"/>
        <v>0</v>
      </c>
      <c r="G23" s="16">
        <f t="shared" si="19"/>
        <v>0</v>
      </c>
      <c r="H23" s="16">
        <f t="shared" si="19"/>
        <v>4142986000</v>
      </c>
      <c r="I23" s="158">
        <f t="shared" si="10"/>
        <v>0.41104299813816297</v>
      </c>
      <c r="J23" s="16">
        <f t="shared" si="11"/>
        <v>4142986000</v>
      </c>
      <c r="K23" s="31">
        <f t="shared" si="12"/>
        <v>0.41104299813816297</v>
      </c>
      <c r="L23" s="16">
        <f t="shared" si="19"/>
        <v>5936217438</v>
      </c>
      <c r="M23" s="18">
        <f t="shared" si="13"/>
        <v>0.41104299813816297</v>
      </c>
      <c r="N23" s="158">
        <f t="shared" si="14"/>
        <v>0.58895700186183697</v>
      </c>
      <c r="R23" s="122" t="s">
        <v>21</v>
      </c>
      <c r="S23" s="176">
        <v>0</v>
      </c>
      <c r="T23" s="176">
        <v>0</v>
      </c>
      <c r="U23" s="176">
        <v>4142986000</v>
      </c>
      <c r="V23" s="18">
        <f t="shared" si="16"/>
        <v>0.41104299813816297</v>
      </c>
      <c r="W23" s="176">
        <v>5936217438</v>
      </c>
      <c r="X23" s="158">
        <f t="shared" si="17"/>
        <v>0.58895700186183697</v>
      </c>
    </row>
    <row r="24" spans="2:24" ht="16.5" x14ac:dyDescent="0.25">
      <c r="B24" s="122" t="s">
        <v>607</v>
      </c>
      <c r="C24" s="16">
        <f>+C13</f>
        <v>1113822319</v>
      </c>
      <c r="D24" s="16">
        <f t="shared" ref="D24:L24" si="20">+D13</f>
        <v>835050754</v>
      </c>
      <c r="E24" s="16">
        <f t="shared" si="20"/>
        <v>0</v>
      </c>
      <c r="F24" s="16">
        <f t="shared" si="20"/>
        <v>0</v>
      </c>
      <c r="G24" s="16">
        <f t="shared" si="20"/>
        <v>0</v>
      </c>
      <c r="H24" s="16">
        <f t="shared" si="20"/>
        <v>0</v>
      </c>
      <c r="I24" s="158">
        <f t="shared" si="10"/>
        <v>0</v>
      </c>
      <c r="J24" s="16">
        <f t="shared" si="20"/>
        <v>0</v>
      </c>
      <c r="K24" s="31">
        <f t="shared" si="12"/>
        <v>0</v>
      </c>
      <c r="L24" s="16">
        <f t="shared" si="20"/>
        <v>1113822319</v>
      </c>
      <c r="M24" s="18">
        <f t="shared" ref="M24" si="21">SUM(F24:H24)/C24</f>
        <v>0</v>
      </c>
      <c r="N24" s="158">
        <f t="shared" ref="N24" si="22">+L24/C24</f>
        <v>1</v>
      </c>
      <c r="R24" s="122" t="s">
        <v>607</v>
      </c>
      <c r="S24" s="176">
        <v>0</v>
      </c>
      <c r="T24" s="176">
        <v>0</v>
      </c>
      <c r="U24" s="176">
        <v>0</v>
      </c>
      <c r="V24" s="178">
        <f t="shared" si="16"/>
        <v>0</v>
      </c>
      <c r="W24" s="176">
        <v>1113822319</v>
      </c>
      <c r="X24" s="158">
        <f t="shared" si="17"/>
        <v>1</v>
      </c>
    </row>
    <row r="25" spans="2:24" ht="17.25" x14ac:dyDescent="0.25">
      <c r="B25" s="119" t="s">
        <v>15</v>
      </c>
      <c r="C25" s="120">
        <f t="shared" ref="C25:H25" si="23">SUM(C19:C24)</f>
        <v>135812180151</v>
      </c>
      <c r="D25" s="120">
        <f t="shared" si="23"/>
        <v>135533408585.8</v>
      </c>
      <c r="E25" s="120">
        <f t="shared" si="23"/>
        <v>145678860.28</v>
      </c>
      <c r="F25" s="120">
        <f t="shared" si="23"/>
        <v>5240558036.1199989</v>
      </c>
      <c r="G25" s="120">
        <f t="shared" si="23"/>
        <v>0</v>
      </c>
      <c r="H25" s="120">
        <f t="shared" si="23"/>
        <v>113634002244.81999</v>
      </c>
      <c r="I25" s="159">
        <f t="shared" si="10"/>
        <v>0.83669964003580788</v>
      </c>
      <c r="J25" s="120">
        <f>SUM(J19:J24)</f>
        <v>118874560280.93999</v>
      </c>
      <c r="K25" s="149">
        <f t="shared" si="12"/>
        <v>0.87528644447627402</v>
      </c>
      <c r="L25" s="120">
        <f>SUM(L19:L24)</f>
        <v>16791941009.780001</v>
      </c>
      <c r="M25" s="121">
        <f t="shared" si="13"/>
        <v>0.87528644447627402</v>
      </c>
      <c r="N25" s="159">
        <f t="shared" si="14"/>
        <v>0.12364090607418439</v>
      </c>
      <c r="R25" s="119" t="s">
        <v>15</v>
      </c>
      <c r="S25" s="177">
        <f>SUM(S19:S24)</f>
        <v>145678860.28</v>
      </c>
      <c r="T25" s="177">
        <f t="shared" ref="T25:W25" si="24">SUM(T19:T24)</f>
        <v>5240558036.1199989</v>
      </c>
      <c r="U25" s="177">
        <f t="shared" si="24"/>
        <v>113634002244.81999</v>
      </c>
      <c r="V25" s="121">
        <f>+U25/C25</f>
        <v>0.83669964003580788</v>
      </c>
      <c r="W25" s="177">
        <f t="shared" si="24"/>
        <v>16791941009.780001</v>
      </c>
      <c r="X25" s="121">
        <f>+W25/C25</f>
        <v>0.12364090607418439</v>
      </c>
    </row>
    <row r="27" spans="2:24" x14ac:dyDescent="0.25">
      <c r="B27" s="131">
        <f>+C23/C25</f>
        <v>7.4214282009122029E-2</v>
      </c>
      <c r="L27" s="131">
        <f>+L23/L25</f>
        <v>0.35351585826454573</v>
      </c>
    </row>
    <row r="790" spans="3:3" x14ac:dyDescent="0.25">
      <c r="C790">
        <v>8500000068</v>
      </c>
    </row>
  </sheetData>
  <mergeCells count="18">
    <mergeCell ref="M17:M18"/>
    <mergeCell ref="N17:N18"/>
    <mergeCell ref="F17:H17"/>
    <mergeCell ref="B5:B6"/>
    <mergeCell ref="C5:C6"/>
    <mergeCell ref="D5:D6"/>
    <mergeCell ref="B17:B18"/>
    <mergeCell ref="C17:C18"/>
    <mergeCell ref="D17:D18"/>
    <mergeCell ref="E17:E18"/>
    <mergeCell ref="L17:L18"/>
    <mergeCell ref="E5:E6"/>
    <mergeCell ref="L5:L6"/>
    <mergeCell ref="M5:M6"/>
    <mergeCell ref="B1:N1"/>
    <mergeCell ref="B2:N2"/>
    <mergeCell ref="B3:N3"/>
    <mergeCell ref="N5:N6"/>
  </mergeCells>
  <pageMargins left="0.7" right="0.7" top="0.75" bottom="0.75" header="0.3" footer="0.3"/>
  <pageSetup orientation="portrait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9"/>
  <sheetViews>
    <sheetView zoomScale="80" zoomScaleNormal="80" workbookViewId="0">
      <selection activeCell="A3" sqref="A3:XFD3"/>
    </sheetView>
  </sheetViews>
  <sheetFormatPr baseColWidth="10" defaultColWidth="36.28515625" defaultRowHeight="15" x14ac:dyDescent="0.25"/>
  <cols>
    <col min="1" max="1" width="13" bestFit="1" customWidth="1"/>
    <col min="2" max="2" width="18.140625" customWidth="1"/>
    <col min="3" max="3" width="27" customWidth="1"/>
    <col min="4" max="4" width="6.5703125" bestFit="1" customWidth="1"/>
    <col min="5" max="5" width="18.7109375" bestFit="1" customWidth="1"/>
    <col min="6" max="7" width="18.5703125" bestFit="1" customWidth="1"/>
    <col min="8" max="8" width="16.28515625" bestFit="1" customWidth="1"/>
    <col min="9" max="9" width="17.42578125" bestFit="1" customWidth="1"/>
    <col min="10" max="10" width="20" bestFit="1" customWidth="1"/>
    <col min="11" max="12" width="18.5703125" bestFit="1" customWidth="1"/>
    <col min="13" max="13" width="21.5703125" bestFit="1" customWidth="1"/>
    <col min="14" max="14" width="18.5703125" bestFit="1" customWidth="1"/>
  </cols>
  <sheetData>
    <row r="1" spans="1:14" x14ac:dyDescent="0.25">
      <c r="A1" s="166" t="s">
        <v>562</v>
      </c>
      <c r="B1" s="166" t="s">
        <v>563</v>
      </c>
      <c r="C1" s="166" t="s">
        <v>91</v>
      </c>
      <c r="D1" s="166" t="s">
        <v>90</v>
      </c>
      <c r="E1" s="166" t="s">
        <v>564</v>
      </c>
      <c r="F1" s="166" t="s">
        <v>404</v>
      </c>
      <c r="G1" s="166" t="s">
        <v>552</v>
      </c>
      <c r="H1" s="166" t="s">
        <v>27</v>
      </c>
      <c r="I1" s="166" t="s">
        <v>29</v>
      </c>
      <c r="J1" s="166" t="s">
        <v>566</v>
      </c>
      <c r="K1" s="166" t="s">
        <v>33</v>
      </c>
      <c r="L1" s="166" t="s">
        <v>35</v>
      </c>
      <c r="M1" s="166" t="s">
        <v>551</v>
      </c>
      <c r="N1" s="166" t="s">
        <v>565</v>
      </c>
    </row>
    <row r="2" spans="1:14" x14ac:dyDescent="0.25">
      <c r="A2" s="167" t="s">
        <v>553</v>
      </c>
      <c r="B2" s="167"/>
      <c r="C2" s="167"/>
      <c r="D2" s="167" t="s">
        <v>554</v>
      </c>
      <c r="E2" s="168">
        <v>135262272151</v>
      </c>
      <c r="F2" s="168">
        <v>135812180151</v>
      </c>
      <c r="G2" s="168">
        <v>135533408585.8</v>
      </c>
      <c r="H2" s="168">
        <v>145678860.28</v>
      </c>
      <c r="I2" s="168">
        <v>5240558036.1199999</v>
      </c>
      <c r="J2" s="168">
        <v>0</v>
      </c>
      <c r="K2" s="168">
        <v>113634002244.82001</v>
      </c>
      <c r="L2" s="168">
        <v>110084567665.66</v>
      </c>
      <c r="M2" s="168">
        <v>16791941009.780001</v>
      </c>
      <c r="N2" s="168">
        <v>16513169444.58</v>
      </c>
    </row>
    <row r="3" spans="1:14" x14ac:dyDescent="0.25">
      <c r="A3" s="167">
        <v>214779</v>
      </c>
      <c r="B3" s="167"/>
      <c r="C3" s="167"/>
      <c r="D3" s="167" t="s">
        <v>554</v>
      </c>
      <c r="E3" s="168">
        <v>2888329075</v>
      </c>
      <c r="F3" s="168">
        <v>2888329075</v>
      </c>
      <c r="G3" s="168">
        <v>2882923295</v>
      </c>
      <c r="H3" s="168">
        <v>870800</v>
      </c>
      <c r="I3" s="168">
        <v>31102070.57</v>
      </c>
      <c r="J3" s="168">
        <v>0</v>
      </c>
      <c r="K3" s="168">
        <v>2575937092.5999999</v>
      </c>
      <c r="L3" s="168">
        <v>2546036728.9400001</v>
      </c>
      <c r="M3" s="168">
        <v>280419111.82999998</v>
      </c>
      <c r="N3" s="168">
        <v>275013331.82999998</v>
      </c>
    </row>
    <row r="4" spans="1:14" x14ac:dyDescent="0.25">
      <c r="A4" s="167" t="s">
        <v>555</v>
      </c>
      <c r="B4" s="167" t="s">
        <v>92</v>
      </c>
      <c r="C4" s="167" t="s">
        <v>93</v>
      </c>
      <c r="D4" s="167" t="s">
        <v>554</v>
      </c>
      <c r="E4" s="168">
        <v>1605902000</v>
      </c>
      <c r="F4" s="168">
        <v>1595169020</v>
      </c>
      <c r="G4" s="168">
        <v>1595169020</v>
      </c>
      <c r="H4" s="168">
        <v>0</v>
      </c>
      <c r="I4" s="168">
        <v>0</v>
      </c>
      <c r="J4" s="168">
        <v>0</v>
      </c>
      <c r="K4" s="168">
        <v>1403091564.6099999</v>
      </c>
      <c r="L4" s="168">
        <v>1403091564.6099999</v>
      </c>
      <c r="M4" s="168">
        <v>192077455.38999999</v>
      </c>
      <c r="N4" s="168">
        <v>192077455.38999999</v>
      </c>
    </row>
    <row r="5" spans="1:14" x14ac:dyDescent="0.25">
      <c r="A5" s="167" t="s">
        <v>555</v>
      </c>
      <c r="B5" s="167" t="s">
        <v>94</v>
      </c>
      <c r="C5" s="167" t="s">
        <v>95</v>
      </c>
      <c r="D5" s="167" t="s">
        <v>554</v>
      </c>
      <c r="E5" s="168">
        <v>623799000</v>
      </c>
      <c r="F5" s="168">
        <v>621454140</v>
      </c>
      <c r="G5" s="168">
        <v>621454140</v>
      </c>
      <c r="H5" s="168">
        <v>0</v>
      </c>
      <c r="I5" s="168">
        <v>0</v>
      </c>
      <c r="J5" s="168">
        <v>0</v>
      </c>
      <c r="K5" s="168">
        <v>538128694.75</v>
      </c>
      <c r="L5" s="168">
        <v>538128694.75</v>
      </c>
      <c r="M5" s="168">
        <v>83325445.25</v>
      </c>
      <c r="N5" s="168">
        <v>83325445.25</v>
      </c>
    </row>
    <row r="6" spans="1:14" x14ac:dyDescent="0.25">
      <c r="A6" s="167" t="s">
        <v>555</v>
      </c>
      <c r="B6" s="167" t="s">
        <v>96</v>
      </c>
      <c r="C6" s="167" t="s">
        <v>97</v>
      </c>
      <c r="D6" s="167" t="s">
        <v>554</v>
      </c>
      <c r="E6" s="168">
        <v>623799000</v>
      </c>
      <c r="F6" s="168">
        <v>621454140</v>
      </c>
      <c r="G6" s="168">
        <v>621454140</v>
      </c>
      <c r="H6" s="168">
        <v>0</v>
      </c>
      <c r="I6" s="168">
        <v>0</v>
      </c>
      <c r="J6" s="168">
        <v>0</v>
      </c>
      <c r="K6" s="168">
        <v>538128694.75</v>
      </c>
      <c r="L6" s="168">
        <v>538128694.75</v>
      </c>
      <c r="M6" s="168">
        <v>83325445.25</v>
      </c>
      <c r="N6" s="168">
        <v>83325445.25</v>
      </c>
    </row>
    <row r="7" spans="1:14" x14ac:dyDescent="0.25">
      <c r="A7" s="167" t="s">
        <v>555</v>
      </c>
      <c r="B7" s="167" t="s">
        <v>102</v>
      </c>
      <c r="C7" s="167" t="s">
        <v>103</v>
      </c>
      <c r="D7" s="167" t="s">
        <v>554</v>
      </c>
      <c r="E7" s="168">
        <v>738861000</v>
      </c>
      <c r="F7" s="168">
        <v>731336587</v>
      </c>
      <c r="G7" s="168">
        <v>731336587</v>
      </c>
      <c r="H7" s="168">
        <v>0</v>
      </c>
      <c r="I7" s="168">
        <v>0</v>
      </c>
      <c r="J7" s="168">
        <v>0</v>
      </c>
      <c r="K7" s="168">
        <v>652658275.86000001</v>
      </c>
      <c r="L7" s="168">
        <v>652658275.86000001</v>
      </c>
      <c r="M7" s="168">
        <v>78678311.140000001</v>
      </c>
      <c r="N7" s="168">
        <v>78678311.140000001</v>
      </c>
    </row>
    <row r="8" spans="1:14" x14ac:dyDescent="0.25">
      <c r="A8" s="167" t="s">
        <v>555</v>
      </c>
      <c r="B8" s="167" t="s">
        <v>104</v>
      </c>
      <c r="C8" s="167" t="s">
        <v>105</v>
      </c>
      <c r="D8" s="167" t="s">
        <v>554</v>
      </c>
      <c r="E8" s="168">
        <v>164173000</v>
      </c>
      <c r="F8" s="168">
        <v>163533158</v>
      </c>
      <c r="G8" s="168">
        <v>163533158</v>
      </c>
      <c r="H8" s="168">
        <v>0</v>
      </c>
      <c r="I8" s="168">
        <v>0</v>
      </c>
      <c r="J8" s="168">
        <v>0</v>
      </c>
      <c r="K8" s="168">
        <v>141779456.13</v>
      </c>
      <c r="L8" s="168">
        <v>141779456.13</v>
      </c>
      <c r="M8" s="168">
        <v>21753701.870000001</v>
      </c>
      <c r="N8" s="168">
        <v>21753701.870000001</v>
      </c>
    </row>
    <row r="9" spans="1:14" x14ac:dyDescent="0.25">
      <c r="A9" s="167" t="s">
        <v>555</v>
      </c>
      <c r="B9" s="167" t="s">
        <v>106</v>
      </c>
      <c r="C9" s="167" t="s">
        <v>107</v>
      </c>
      <c r="D9" s="167" t="s">
        <v>554</v>
      </c>
      <c r="E9" s="168">
        <v>327075000</v>
      </c>
      <c r="F9" s="168">
        <v>322800095</v>
      </c>
      <c r="G9" s="168">
        <v>322800095</v>
      </c>
      <c r="H9" s="168">
        <v>0</v>
      </c>
      <c r="I9" s="168">
        <v>0</v>
      </c>
      <c r="J9" s="168">
        <v>0</v>
      </c>
      <c r="K9" s="168">
        <v>285832647.87</v>
      </c>
      <c r="L9" s="168">
        <v>285832647.87</v>
      </c>
      <c r="M9" s="168">
        <v>36967447.130000003</v>
      </c>
      <c r="N9" s="168">
        <v>36967447.130000003</v>
      </c>
    </row>
    <row r="10" spans="1:14" x14ac:dyDescent="0.25">
      <c r="A10" s="167" t="s">
        <v>555</v>
      </c>
      <c r="B10" s="167" t="s">
        <v>112</v>
      </c>
      <c r="C10" s="167" t="s">
        <v>113</v>
      </c>
      <c r="D10" s="167" t="s">
        <v>556</v>
      </c>
      <c r="E10" s="168">
        <v>104309000</v>
      </c>
      <c r="F10" s="168">
        <v>103915105</v>
      </c>
      <c r="G10" s="168">
        <v>103915105</v>
      </c>
      <c r="H10" s="168">
        <v>0</v>
      </c>
      <c r="I10" s="168">
        <v>0</v>
      </c>
      <c r="J10" s="168">
        <v>0</v>
      </c>
      <c r="K10" s="168">
        <v>92943345.510000005</v>
      </c>
      <c r="L10" s="168">
        <v>92943345.510000005</v>
      </c>
      <c r="M10" s="168">
        <v>10971759.49</v>
      </c>
      <c r="N10" s="168">
        <v>10971759.49</v>
      </c>
    </row>
    <row r="11" spans="1:14" x14ac:dyDescent="0.25">
      <c r="A11" s="167" t="s">
        <v>555</v>
      </c>
      <c r="B11" s="167" t="s">
        <v>108</v>
      </c>
      <c r="C11" s="167" t="s">
        <v>109</v>
      </c>
      <c r="D11" s="167" t="s">
        <v>554</v>
      </c>
      <c r="E11" s="168">
        <v>87753000</v>
      </c>
      <c r="F11" s="168">
        <v>85753000</v>
      </c>
      <c r="G11" s="168">
        <v>85753000</v>
      </c>
      <c r="H11" s="168">
        <v>0</v>
      </c>
      <c r="I11" s="168">
        <v>0</v>
      </c>
      <c r="J11" s="168">
        <v>0</v>
      </c>
      <c r="K11" s="168">
        <v>85248810.469999999</v>
      </c>
      <c r="L11" s="168">
        <v>85248810.469999999</v>
      </c>
      <c r="M11" s="168">
        <v>504189.53</v>
      </c>
      <c r="N11" s="168">
        <v>504189.53</v>
      </c>
    </row>
    <row r="12" spans="1:14" x14ac:dyDescent="0.25">
      <c r="A12" s="167" t="s">
        <v>555</v>
      </c>
      <c r="B12" s="167" t="s">
        <v>110</v>
      </c>
      <c r="C12" s="167" t="s">
        <v>111</v>
      </c>
      <c r="D12" s="167" t="s">
        <v>554</v>
      </c>
      <c r="E12" s="168">
        <v>55551000</v>
      </c>
      <c r="F12" s="168">
        <v>55335229</v>
      </c>
      <c r="G12" s="168">
        <v>55335229</v>
      </c>
      <c r="H12" s="168">
        <v>0</v>
      </c>
      <c r="I12" s="168">
        <v>0</v>
      </c>
      <c r="J12" s="168">
        <v>0</v>
      </c>
      <c r="K12" s="168">
        <v>46854015.880000003</v>
      </c>
      <c r="L12" s="168">
        <v>46854015.880000003</v>
      </c>
      <c r="M12" s="168">
        <v>8481213.1199999992</v>
      </c>
      <c r="N12" s="168">
        <v>8481213.1199999992</v>
      </c>
    </row>
    <row r="13" spans="1:14" x14ac:dyDescent="0.25">
      <c r="A13" s="167" t="s">
        <v>555</v>
      </c>
      <c r="B13" s="167" t="s">
        <v>114</v>
      </c>
      <c r="C13" s="167" t="s">
        <v>115</v>
      </c>
      <c r="D13" s="167" t="s">
        <v>554</v>
      </c>
      <c r="E13" s="168">
        <v>122690000</v>
      </c>
      <c r="F13" s="168">
        <v>122254280</v>
      </c>
      <c r="G13" s="168">
        <v>122254280</v>
      </c>
      <c r="H13" s="168">
        <v>0</v>
      </c>
      <c r="I13" s="168">
        <v>0</v>
      </c>
      <c r="J13" s="168">
        <v>0</v>
      </c>
      <c r="K13" s="168">
        <v>107073587</v>
      </c>
      <c r="L13" s="168">
        <v>107073587</v>
      </c>
      <c r="M13" s="168">
        <v>15180693</v>
      </c>
      <c r="N13" s="168">
        <v>15180693</v>
      </c>
    </row>
    <row r="14" spans="1:14" x14ac:dyDescent="0.25">
      <c r="A14" s="167" t="s">
        <v>555</v>
      </c>
      <c r="B14" s="167" t="s">
        <v>116</v>
      </c>
      <c r="C14" s="167" t="s">
        <v>579</v>
      </c>
      <c r="D14" s="167" t="s">
        <v>554</v>
      </c>
      <c r="E14" s="168">
        <v>116398000</v>
      </c>
      <c r="F14" s="168">
        <v>115984317</v>
      </c>
      <c r="G14" s="168">
        <v>115984317</v>
      </c>
      <c r="H14" s="168">
        <v>0</v>
      </c>
      <c r="I14" s="168">
        <v>0</v>
      </c>
      <c r="J14" s="168">
        <v>0</v>
      </c>
      <c r="K14" s="168">
        <v>101582874</v>
      </c>
      <c r="L14" s="168">
        <v>101582874</v>
      </c>
      <c r="M14" s="168">
        <v>14401443</v>
      </c>
      <c r="N14" s="168">
        <v>14401443</v>
      </c>
    </row>
    <row r="15" spans="1:14" x14ac:dyDescent="0.25">
      <c r="A15" s="167" t="s">
        <v>555</v>
      </c>
      <c r="B15" s="167" t="s">
        <v>117</v>
      </c>
      <c r="C15" s="167" t="s">
        <v>580</v>
      </c>
      <c r="D15" s="167" t="s">
        <v>554</v>
      </c>
      <c r="E15" s="168">
        <v>6292000</v>
      </c>
      <c r="F15" s="168">
        <v>6269963</v>
      </c>
      <c r="G15" s="168">
        <v>6269963</v>
      </c>
      <c r="H15" s="168">
        <v>0</v>
      </c>
      <c r="I15" s="168">
        <v>0</v>
      </c>
      <c r="J15" s="168">
        <v>0</v>
      </c>
      <c r="K15" s="168">
        <v>5490713</v>
      </c>
      <c r="L15" s="168">
        <v>5490713</v>
      </c>
      <c r="M15" s="168">
        <v>779250</v>
      </c>
      <c r="N15" s="168">
        <v>779250</v>
      </c>
    </row>
    <row r="16" spans="1:14" x14ac:dyDescent="0.25">
      <c r="A16" s="167" t="s">
        <v>555</v>
      </c>
      <c r="B16" s="167" t="s">
        <v>118</v>
      </c>
      <c r="C16" s="167" t="s">
        <v>119</v>
      </c>
      <c r="D16" s="167" t="s">
        <v>554</v>
      </c>
      <c r="E16" s="168">
        <v>120552000</v>
      </c>
      <c r="F16" s="168">
        <v>120124013</v>
      </c>
      <c r="G16" s="168">
        <v>120124013</v>
      </c>
      <c r="H16" s="168">
        <v>0</v>
      </c>
      <c r="I16" s="168">
        <v>0</v>
      </c>
      <c r="J16" s="168">
        <v>0</v>
      </c>
      <c r="K16" s="168">
        <v>105231007</v>
      </c>
      <c r="L16" s="168">
        <v>105231007</v>
      </c>
      <c r="M16" s="168">
        <v>14893006</v>
      </c>
      <c r="N16" s="168">
        <v>14893006</v>
      </c>
    </row>
    <row r="17" spans="1:14" x14ac:dyDescent="0.25">
      <c r="A17" s="167" t="s">
        <v>555</v>
      </c>
      <c r="B17" s="167" t="s">
        <v>120</v>
      </c>
      <c r="C17" s="167" t="s">
        <v>121</v>
      </c>
      <c r="D17" s="167" t="s">
        <v>554</v>
      </c>
      <c r="E17" s="168">
        <v>63925000</v>
      </c>
      <c r="F17" s="168">
        <v>63698345</v>
      </c>
      <c r="G17" s="168">
        <v>63698345</v>
      </c>
      <c r="H17" s="168">
        <v>0</v>
      </c>
      <c r="I17" s="168">
        <v>0</v>
      </c>
      <c r="J17" s="168">
        <v>0</v>
      </c>
      <c r="K17" s="168">
        <v>55814540</v>
      </c>
      <c r="L17" s="168">
        <v>55814540</v>
      </c>
      <c r="M17" s="168">
        <v>7883805</v>
      </c>
      <c r="N17" s="168">
        <v>7883805</v>
      </c>
    </row>
    <row r="18" spans="1:14" x14ac:dyDescent="0.25">
      <c r="A18" s="167" t="s">
        <v>555</v>
      </c>
      <c r="B18" s="167" t="s">
        <v>122</v>
      </c>
      <c r="C18" s="167" t="s">
        <v>123</v>
      </c>
      <c r="D18" s="167" t="s">
        <v>554</v>
      </c>
      <c r="E18" s="168">
        <v>18876000</v>
      </c>
      <c r="F18" s="168">
        <v>18808889</v>
      </c>
      <c r="G18" s="168">
        <v>18808889</v>
      </c>
      <c r="H18" s="168">
        <v>0</v>
      </c>
      <c r="I18" s="168">
        <v>0</v>
      </c>
      <c r="J18" s="168">
        <v>0</v>
      </c>
      <c r="K18" s="168">
        <v>16472162</v>
      </c>
      <c r="L18" s="168">
        <v>16472162</v>
      </c>
      <c r="M18" s="168">
        <v>2336727</v>
      </c>
      <c r="N18" s="168">
        <v>2336727</v>
      </c>
    </row>
    <row r="19" spans="1:14" x14ac:dyDescent="0.25">
      <c r="A19" s="167" t="s">
        <v>555</v>
      </c>
      <c r="B19" s="167" t="s">
        <v>124</v>
      </c>
      <c r="C19" s="167" t="s">
        <v>125</v>
      </c>
      <c r="D19" s="167" t="s">
        <v>554</v>
      </c>
      <c r="E19" s="168">
        <v>37751000</v>
      </c>
      <c r="F19" s="168">
        <v>37616779</v>
      </c>
      <c r="G19" s="168">
        <v>37616779</v>
      </c>
      <c r="H19" s="168">
        <v>0</v>
      </c>
      <c r="I19" s="168">
        <v>0</v>
      </c>
      <c r="J19" s="168">
        <v>0</v>
      </c>
      <c r="K19" s="168">
        <v>32944305</v>
      </c>
      <c r="L19" s="168">
        <v>32944305</v>
      </c>
      <c r="M19" s="168">
        <v>4672474</v>
      </c>
      <c r="N19" s="168">
        <v>4672474</v>
      </c>
    </row>
    <row r="20" spans="1:14" x14ac:dyDescent="0.25">
      <c r="A20" s="167" t="s">
        <v>555</v>
      </c>
      <c r="B20" s="167" t="s">
        <v>126</v>
      </c>
      <c r="C20" s="167" t="s">
        <v>127</v>
      </c>
      <c r="D20" s="167" t="s">
        <v>554</v>
      </c>
      <c r="E20" s="168">
        <v>381122000</v>
      </c>
      <c r="F20" s="168">
        <v>372983958</v>
      </c>
      <c r="G20" s="168">
        <v>372983958</v>
      </c>
      <c r="H20" s="168">
        <v>0</v>
      </c>
      <c r="I20" s="168">
        <v>29173230.719999999</v>
      </c>
      <c r="J20" s="168">
        <v>0</v>
      </c>
      <c r="K20" s="168">
        <v>308966215.39999998</v>
      </c>
      <c r="L20" s="168">
        <v>281076703.44</v>
      </c>
      <c r="M20" s="168">
        <v>34844511.880000003</v>
      </c>
      <c r="N20" s="168">
        <v>34844511.880000003</v>
      </c>
    </row>
    <row r="21" spans="1:14" x14ac:dyDescent="0.25">
      <c r="A21" s="167" t="s">
        <v>555</v>
      </c>
      <c r="B21" s="167" t="s">
        <v>128</v>
      </c>
      <c r="C21" s="167" t="s">
        <v>129</v>
      </c>
      <c r="D21" s="167" t="s">
        <v>554</v>
      </c>
      <c r="E21" s="168">
        <v>143766000</v>
      </c>
      <c r="F21" s="168">
        <v>136870950</v>
      </c>
      <c r="G21" s="168">
        <v>136870950</v>
      </c>
      <c r="H21" s="168">
        <v>0</v>
      </c>
      <c r="I21" s="168">
        <v>11607930.93</v>
      </c>
      <c r="J21" s="168">
        <v>0</v>
      </c>
      <c r="K21" s="168">
        <v>124949338.18000001</v>
      </c>
      <c r="L21" s="168">
        <v>104833718.33</v>
      </c>
      <c r="M21" s="168">
        <v>313680.89</v>
      </c>
      <c r="N21" s="168">
        <v>313680.89</v>
      </c>
    </row>
    <row r="22" spans="1:14" x14ac:dyDescent="0.25">
      <c r="A22" s="167" t="s">
        <v>555</v>
      </c>
      <c r="B22" s="167" t="s">
        <v>130</v>
      </c>
      <c r="C22" s="167" t="s">
        <v>131</v>
      </c>
      <c r="D22" s="167" t="s">
        <v>554</v>
      </c>
      <c r="E22" s="168">
        <v>143676000</v>
      </c>
      <c r="F22" s="168">
        <v>136780950</v>
      </c>
      <c r="G22" s="168">
        <v>136780950</v>
      </c>
      <c r="H22" s="168">
        <v>0</v>
      </c>
      <c r="I22" s="168">
        <v>11607930.93</v>
      </c>
      <c r="J22" s="168">
        <v>0</v>
      </c>
      <c r="K22" s="168">
        <v>124877338.18000001</v>
      </c>
      <c r="L22" s="168">
        <v>104761718.33</v>
      </c>
      <c r="M22" s="168">
        <v>295680.89</v>
      </c>
      <c r="N22" s="168">
        <v>295680.89</v>
      </c>
    </row>
    <row r="23" spans="1:14" x14ac:dyDescent="0.25">
      <c r="A23" s="167" t="s">
        <v>555</v>
      </c>
      <c r="B23" s="167" t="s">
        <v>132</v>
      </c>
      <c r="C23" s="167" t="s">
        <v>133</v>
      </c>
      <c r="D23" s="167" t="s">
        <v>554</v>
      </c>
      <c r="E23" s="168">
        <v>90000</v>
      </c>
      <c r="F23" s="168">
        <v>90000</v>
      </c>
      <c r="G23" s="168">
        <v>90000</v>
      </c>
      <c r="H23" s="168">
        <v>0</v>
      </c>
      <c r="I23" s="168">
        <v>0</v>
      </c>
      <c r="J23" s="168">
        <v>0</v>
      </c>
      <c r="K23" s="168">
        <v>72000</v>
      </c>
      <c r="L23" s="168">
        <v>72000</v>
      </c>
      <c r="M23" s="168">
        <v>18000</v>
      </c>
      <c r="N23" s="168">
        <v>18000</v>
      </c>
    </row>
    <row r="24" spans="1:14" x14ac:dyDescent="0.25">
      <c r="A24" s="167" t="s">
        <v>555</v>
      </c>
      <c r="B24" s="167" t="s">
        <v>134</v>
      </c>
      <c r="C24" s="167" t="s">
        <v>135</v>
      </c>
      <c r="D24" s="167" t="s">
        <v>554</v>
      </c>
      <c r="E24" s="168">
        <v>132920000</v>
      </c>
      <c r="F24" s="168">
        <v>133914000</v>
      </c>
      <c r="G24" s="168">
        <v>133914000</v>
      </c>
      <c r="H24" s="168">
        <v>0</v>
      </c>
      <c r="I24" s="168">
        <v>12212622</v>
      </c>
      <c r="J24" s="168">
        <v>0</v>
      </c>
      <c r="K24" s="168">
        <v>120501378</v>
      </c>
      <c r="L24" s="168">
        <v>114557114</v>
      </c>
      <c r="M24" s="168">
        <v>1200000</v>
      </c>
      <c r="N24" s="168">
        <v>1200000</v>
      </c>
    </row>
    <row r="25" spans="1:14" x14ac:dyDescent="0.25">
      <c r="A25" s="167" t="s">
        <v>555</v>
      </c>
      <c r="B25" s="167" t="s">
        <v>136</v>
      </c>
      <c r="C25" s="167" t="s">
        <v>137</v>
      </c>
      <c r="D25" s="167" t="s">
        <v>554</v>
      </c>
      <c r="E25" s="168">
        <v>5400000</v>
      </c>
      <c r="F25" s="168">
        <v>5400000</v>
      </c>
      <c r="G25" s="168">
        <v>5400000</v>
      </c>
      <c r="H25" s="168">
        <v>0</v>
      </c>
      <c r="I25" s="168">
        <v>1029575</v>
      </c>
      <c r="J25" s="168">
        <v>0</v>
      </c>
      <c r="K25" s="168">
        <v>4370425</v>
      </c>
      <c r="L25" s="168">
        <v>4370425</v>
      </c>
      <c r="M25" s="168">
        <v>0</v>
      </c>
      <c r="N25" s="168">
        <v>0</v>
      </c>
    </row>
    <row r="26" spans="1:14" x14ac:dyDescent="0.25">
      <c r="A26" s="167" t="s">
        <v>555</v>
      </c>
      <c r="B26" s="167" t="s">
        <v>138</v>
      </c>
      <c r="C26" s="167" t="s">
        <v>139</v>
      </c>
      <c r="D26" s="167" t="s">
        <v>554</v>
      </c>
      <c r="E26" s="168">
        <v>52000000</v>
      </c>
      <c r="F26" s="168">
        <v>52000000</v>
      </c>
      <c r="G26" s="168">
        <v>52000000</v>
      </c>
      <c r="H26" s="168">
        <v>0</v>
      </c>
      <c r="I26" s="168">
        <v>3917885</v>
      </c>
      <c r="J26" s="168">
        <v>0</v>
      </c>
      <c r="K26" s="168">
        <v>48082115</v>
      </c>
      <c r="L26" s="168">
        <v>48082115</v>
      </c>
      <c r="M26" s="168">
        <v>0</v>
      </c>
      <c r="N26" s="168">
        <v>0</v>
      </c>
    </row>
    <row r="27" spans="1:14" x14ac:dyDescent="0.25">
      <c r="A27" s="167" t="s">
        <v>555</v>
      </c>
      <c r="B27" s="167" t="s">
        <v>140</v>
      </c>
      <c r="C27" s="167" t="s">
        <v>141</v>
      </c>
      <c r="D27" s="167" t="s">
        <v>554</v>
      </c>
      <c r="E27" s="168">
        <v>20000</v>
      </c>
      <c r="F27" s="168">
        <v>14000</v>
      </c>
      <c r="G27" s="168">
        <v>14000</v>
      </c>
      <c r="H27" s="168">
        <v>0</v>
      </c>
      <c r="I27" s="168">
        <v>0</v>
      </c>
      <c r="J27" s="168">
        <v>0</v>
      </c>
      <c r="K27" s="168">
        <v>14000</v>
      </c>
      <c r="L27" s="168">
        <v>14000</v>
      </c>
      <c r="M27" s="168">
        <v>0</v>
      </c>
      <c r="N27" s="168">
        <v>0</v>
      </c>
    </row>
    <row r="28" spans="1:14" x14ac:dyDescent="0.25">
      <c r="A28" s="167" t="s">
        <v>555</v>
      </c>
      <c r="B28" s="167" t="s">
        <v>142</v>
      </c>
      <c r="C28" s="167" t="s">
        <v>143</v>
      </c>
      <c r="D28" s="167" t="s">
        <v>554</v>
      </c>
      <c r="E28" s="168">
        <v>75000000</v>
      </c>
      <c r="F28" s="168">
        <v>76000000</v>
      </c>
      <c r="G28" s="168">
        <v>76000000</v>
      </c>
      <c r="H28" s="168">
        <v>0</v>
      </c>
      <c r="I28" s="168">
        <v>7215362</v>
      </c>
      <c r="J28" s="168">
        <v>0</v>
      </c>
      <c r="K28" s="168">
        <v>67784638</v>
      </c>
      <c r="L28" s="168">
        <v>61854274</v>
      </c>
      <c r="M28" s="168">
        <v>1000000</v>
      </c>
      <c r="N28" s="168">
        <v>1000000</v>
      </c>
    </row>
    <row r="29" spans="1:14" x14ac:dyDescent="0.25">
      <c r="A29" s="167" t="s">
        <v>555</v>
      </c>
      <c r="B29" s="167" t="s">
        <v>144</v>
      </c>
      <c r="C29" s="167" t="s">
        <v>145</v>
      </c>
      <c r="D29" s="167" t="s">
        <v>554</v>
      </c>
      <c r="E29" s="168">
        <v>500000</v>
      </c>
      <c r="F29" s="168">
        <v>500000</v>
      </c>
      <c r="G29" s="168">
        <v>500000</v>
      </c>
      <c r="H29" s="168">
        <v>0</v>
      </c>
      <c r="I29" s="168">
        <v>49800</v>
      </c>
      <c r="J29" s="168">
        <v>0</v>
      </c>
      <c r="K29" s="168">
        <v>250200</v>
      </c>
      <c r="L29" s="168">
        <v>236300</v>
      </c>
      <c r="M29" s="168">
        <v>200000</v>
      </c>
      <c r="N29" s="168">
        <v>200000</v>
      </c>
    </row>
    <row r="30" spans="1:14" x14ac:dyDescent="0.25">
      <c r="A30" s="167" t="s">
        <v>555</v>
      </c>
      <c r="B30" s="167" t="s">
        <v>146</v>
      </c>
      <c r="C30" s="167" t="s">
        <v>147</v>
      </c>
      <c r="D30" s="167" t="s">
        <v>554</v>
      </c>
      <c r="E30" s="168">
        <v>8550000</v>
      </c>
      <c r="F30" s="168">
        <v>8550000</v>
      </c>
      <c r="G30" s="168">
        <v>8550000</v>
      </c>
      <c r="H30" s="168">
        <v>0</v>
      </c>
      <c r="I30" s="168">
        <v>1764049</v>
      </c>
      <c r="J30" s="168">
        <v>0</v>
      </c>
      <c r="K30" s="168">
        <v>5451456</v>
      </c>
      <c r="L30" s="168">
        <v>5043906</v>
      </c>
      <c r="M30" s="168">
        <v>1334495</v>
      </c>
      <c r="N30" s="168">
        <v>1334495</v>
      </c>
    </row>
    <row r="31" spans="1:14" x14ac:dyDescent="0.25">
      <c r="A31" s="167" t="s">
        <v>555</v>
      </c>
      <c r="B31" s="167" t="s">
        <v>148</v>
      </c>
      <c r="C31" s="167" t="s">
        <v>149</v>
      </c>
      <c r="D31" s="167" t="s">
        <v>554</v>
      </c>
      <c r="E31" s="168">
        <v>7000000</v>
      </c>
      <c r="F31" s="168">
        <v>7000000</v>
      </c>
      <c r="G31" s="168">
        <v>7000000</v>
      </c>
      <c r="H31" s="168">
        <v>0</v>
      </c>
      <c r="I31" s="168">
        <v>1764049</v>
      </c>
      <c r="J31" s="168">
        <v>0</v>
      </c>
      <c r="K31" s="168">
        <v>4293890</v>
      </c>
      <c r="L31" s="168">
        <v>3886340</v>
      </c>
      <c r="M31" s="168">
        <v>942061</v>
      </c>
      <c r="N31" s="168">
        <v>942061</v>
      </c>
    </row>
    <row r="32" spans="1:14" x14ac:dyDescent="0.25">
      <c r="A32" s="167" t="s">
        <v>555</v>
      </c>
      <c r="B32" s="167" t="s">
        <v>150</v>
      </c>
      <c r="C32" s="167" t="s">
        <v>151</v>
      </c>
      <c r="D32" s="167" t="s">
        <v>554</v>
      </c>
      <c r="E32" s="168">
        <v>1500000</v>
      </c>
      <c r="F32" s="168">
        <v>1500000</v>
      </c>
      <c r="G32" s="168">
        <v>1500000</v>
      </c>
      <c r="H32" s="168">
        <v>0</v>
      </c>
      <c r="I32" s="168">
        <v>0</v>
      </c>
      <c r="J32" s="168">
        <v>0</v>
      </c>
      <c r="K32" s="168">
        <v>1149600</v>
      </c>
      <c r="L32" s="168">
        <v>1149600</v>
      </c>
      <c r="M32" s="168">
        <v>350400</v>
      </c>
      <c r="N32" s="168">
        <v>350400</v>
      </c>
    </row>
    <row r="33" spans="1:14" x14ac:dyDescent="0.25">
      <c r="A33" s="167" t="s">
        <v>555</v>
      </c>
      <c r="B33" s="167" t="s">
        <v>152</v>
      </c>
      <c r="C33" s="167" t="s">
        <v>153</v>
      </c>
      <c r="D33" s="167" t="s">
        <v>554</v>
      </c>
      <c r="E33" s="168">
        <v>50000</v>
      </c>
      <c r="F33" s="168">
        <v>50000</v>
      </c>
      <c r="G33" s="168">
        <v>50000</v>
      </c>
      <c r="H33" s="168">
        <v>0</v>
      </c>
      <c r="I33" s="168">
        <v>0</v>
      </c>
      <c r="J33" s="168">
        <v>0</v>
      </c>
      <c r="K33" s="168">
        <v>7966</v>
      </c>
      <c r="L33" s="168">
        <v>7966</v>
      </c>
      <c r="M33" s="168">
        <v>42034</v>
      </c>
      <c r="N33" s="168">
        <v>42034</v>
      </c>
    </row>
    <row r="34" spans="1:14" x14ac:dyDescent="0.25">
      <c r="A34" s="167" t="s">
        <v>555</v>
      </c>
      <c r="B34" s="167" t="s">
        <v>154</v>
      </c>
      <c r="C34" s="167" t="s">
        <v>155</v>
      </c>
      <c r="D34" s="167" t="s">
        <v>554</v>
      </c>
      <c r="E34" s="168">
        <v>3345500</v>
      </c>
      <c r="F34" s="168">
        <v>5339341</v>
      </c>
      <c r="G34" s="168">
        <v>5339341</v>
      </c>
      <c r="H34" s="168">
        <v>0</v>
      </c>
      <c r="I34" s="168">
        <v>0</v>
      </c>
      <c r="J34" s="168">
        <v>0</v>
      </c>
      <c r="K34" s="168">
        <v>2053066</v>
      </c>
      <c r="L34" s="168">
        <v>2053066</v>
      </c>
      <c r="M34" s="168">
        <v>3286275</v>
      </c>
      <c r="N34" s="168">
        <v>3286275</v>
      </c>
    </row>
    <row r="35" spans="1:14" x14ac:dyDescent="0.25">
      <c r="A35" s="167" t="s">
        <v>555</v>
      </c>
      <c r="B35" s="167" t="s">
        <v>158</v>
      </c>
      <c r="C35" s="167" t="s">
        <v>159</v>
      </c>
      <c r="D35" s="167" t="s">
        <v>554</v>
      </c>
      <c r="E35" s="168">
        <v>1345500</v>
      </c>
      <c r="F35" s="168">
        <v>1000000</v>
      </c>
      <c r="G35" s="168">
        <v>1000000</v>
      </c>
      <c r="H35" s="168">
        <v>0</v>
      </c>
      <c r="I35" s="168">
        <v>0</v>
      </c>
      <c r="J35" s="168">
        <v>0</v>
      </c>
      <c r="K35" s="168">
        <v>883855</v>
      </c>
      <c r="L35" s="168">
        <v>883855</v>
      </c>
      <c r="M35" s="168">
        <v>116145</v>
      </c>
      <c r="N35" s="168">
        <v>116145</v>
      </c>
    </row>
    <row r="36" spans="1:14" x14ac:dyDescent="0.25">
      <c r="A36" s="167" t="s">
        <v>555</v>
      </c>
      <c r="B36" s="167" t="s">
        <v>160</v>
      </c>
      <c r="C36" s="167" t="s">
        <v>161</v>
      </c>
      <c r="D36" s="167" t="s">
        <v>554</v>
      </c>
      <c r="E36" s="168">
        <v>2000000</v>
      </c>
      <c r="F36" s="168">
        <v>4339341</v>
      </c>
      <c r="G36" s="168">
        <v>4339341</v>
      </c>
      <c r="H36" s="168">
        <v>0</v>
      </c>
      <c r="I36" s="168">
        <v>0</v>
      </c>
      <c r="J36" s="168">
        <v>0</v>
      </c>
      <c r="K36" s="168">
        <v>1169211</v>
      </c>
      <c r="L36" s="168">
        <v>1169211</v>
      </c>
      <c r="M36" s="168">
        <v>3170130</v>
      </c>
      <c r="N36" s="168">
        <v>3170130</v>
      </c>
    </row>
    <row r="37" spans="1:14" x14ac:dyDescent="0.25">
      <c r="A37" s="167" t="s">
        <v>555</v>
      </c>
      <c r="B37" s="167" t="s">
        <v>162</v>
      </c>
      <c r="C37" s="167" t="s">
        <v>163</v>
      </c>
      <c r="D37" s="167" t="s">
        <v>554</v>
      </c>
      <c r="E37" s="168">
        <v>26600000</v>
      </c>
      <c r="F37" s="168">
        <v>25200000</v>
      </c>
      <c r="G37" s="168">
        <v>25200000</v>
      </c>
      <c r="H37" s="168">
        <v>0</v>
      </c>
      <c r="I37" s="168">
        <v>489555.82</v>
      </c>
      <c r="J37" s="168">
        <v>0</v>
      </c>
      <c r="K37" s="168">
        <v>19516797.41</v>
      </c>
      <c r="L37" s="168">
        <v>19516797.41</v>
      </c>
      <c r="M37" s="168">
        <v>5193646.7699999996</v>
      </c>
      <c r="N37" s="168">
        <v>5193646.7699999996</v>
      </c>
    </row>
    <row r="38" spans="1:14" x14ac:dyDescent="0.25">
      <c r="A38" s="167" t="s">
        <v>555</v>
      </c>
      <c r="B38" s="167" t="s">
        <v>164</v>
      </c>
      <c r="C38" s="167" t="s">
        <v>165</v>
      </c>
      <c r="D38" s="167" t="s">
        <v>554</v>
      </c>
      <c r="E38" s="168">
        <v>100000</v>
      </c>
      <c r="F38" s="168">
        <v>100000</v>
      </c>
      <c r="G38" s="168">
        <v>100000</v>
      </c>
      <c r="H38" s="168">
        <v>0</v>
      </c>
      <c r="I38" s="168">
        <v>0</v>
      </c>
      <c r="J38" s="168">
        <v>0</v>
      </c>
      <c r="K38" s="168">
        <v>0</v>
      </c>
      <c r="L38" s="168">
        <v>0</v>
      </c>
      <c r="M38" s="168">
        <v>100000</v>
      </c>
      <c r="N38" s="168">
        <v>100000</v>
      </c>
    </row>
    <row r="39" spans="1:14" x14ac:dyDescent="0.25">
      <c r="A39" s="167" t="s">
        <v>555</v>
      </c>
      <c r="B39" s="167" t="s">
        <v>166</v>
      </c>
      <c r="C39" s="167" t="s">
        <v>167</v>
      </c>
      <c r="D39" s="167" t="s">
        <v>554</v>
      </c>
      <c r="E39" s="168">
        <v>10000000</v>
      </c>
      <c r="F39" s="168">
        <v>8600000</v>
      </c>
      <c r="G39" s="168">
        <v>8600000</v>
      </c>
      <c r="H39" s="168">
        <v>0</v>
      </c>
      <c r="I39" s="168">
        <v>400350</v>
      </c>
      <c r="J39" s="168">
        <v>0</v>
      </c>
      <c r="K39" s="168">
        <v>6986542.4100000001</v>
      </c>
      <c r="L39" s="168">
        <v>6986542.4100000001</v>
      </c>
      <c r="M39" s="168">
        <v>1213107.5900000001</v>
      </c>
      <c r="N39" s="168">
        <v>1213107.5900000001</v>
      </c>
    </row>
    <row r="40" spans="1:14" x14ac:dyDescent="0.25">
      <c r="A40" s="167" t="s">
        <v>555</v>
      </c>
      <c r="B40" s="167" t="s">
        <v>168</v>
      </c>
      <c r="C40" s="167" t="s">
        <v>169</v>
      </c>
      <c r="D40" s="167" t="s">
        <v>554</v>
      </c>
      <c r="E40" s="168">
        <v>8000000</v>
      </c>
      <c r="F40" s="168">
        <v>8000000</v>
      </c>
      <c r="G40" s="168">
        <v>8000000</v>
      </c>
      <c r="H40" s="168">
        <v>0</v>
      </c>
      <c r="I40" s="168">
        <v>36647.24</v>
      </c>
      <c r="J40" s="168">
        <v>0</v>
      </c>
      <c r="K40" s="168">
        <v>5962934.4199999999</v>
      </c>
      <c r="L40" s="168">
        <v>5962934.4199999999</v>
      </c>
      <c r="M40" s="168">
        <v>2000418.34</v>
      </c>
      <c r="N40" s="168">
        <v>2000418.34</v>
      </c>
    </row>
    <row r="41" spans="1:14" x14ac:dyDescent="0.25">
      <c r="A41" s="167" t="s">
        <v>555</v>
      </c>
      <c r="B41" s="167" t="s">
        <v>170</v>
      </c>
      <c r="C41" s="167" t="s">
        <v>171</v>
      </c>
      <c r="D41" s="167" t="s">
        <v>554</v>
      </c>
      <c r="E41" s="168">
        <v>8500000</v>
      </c>
      <c r="F41" s="168">
        <v>8500000</v>
      </c>
      <c r="G41" s="168">
        <v>8500000</v>
      </c>
      <c r="H41" s="168">
        <v>0</v>
      </c>
      <c r="I41" s="168">
        <v>52558.58</v>
      </c>
      <c r="J41" s="168">
        <v>0</v>
      </c>
      <c r="K41" s="168">
        <v>6567320.5800000001</v>
      </c>
      <c r="L41" s="168">
        <v>6567320.5800000001</v>
      </c>
      <c r="M41" s="168">
        <v>1880120.84</v>
      </c>
      <c r="N41" s="168">
        <v>1880120.84</v>
      </c>
    </row>
    <row r="42" spans="1:14" x14ac:dyDescent="0.25">
      <c r="A42" s="167" t="s">
        <v>555</v>
      </c>
      <c r="B42" s="167" t="s">
        <v>172</v>
      </c>
      <c r="C42" s="167" t="s">
        <v>173</v>
      </c>
      <c r="D42" s="167" t="s">
        <v>554</v>
      </c>
      <c r="E42" s="168">
        <v>48000000</v>
      </c>
      <c r="F42" s="168">
        <v>45684167</v>
      </c>
      <c r="G42" s="168">
        <v>45684167</v>
      </c>
      <c r="H42" s="168">
        <v>0</v>
      </c>
      <c r="I42" s="168">
        <v>500000</v>
      </c>
      <c r="J42" s="168">
        <v>0</v>
      </c>
      <c r="K42" s="168">
        <v>25048981</v>
      </c>
      <c r="L42" s="168">
        <v>25048981</v>
      </c>
      <c r="M42" s="168">
        <v>20135186</v>
      </c>
      <c r="N42" s="168">
        <v>20135186</v>
      </c>
    </row>
    <row r="43" spans="1:14" x14ac:dyDescent="0.25">
      <c r="A43" s="167" t="s">
        <v>555</v>
      </c>
      <c r="B43" s="167" t="s">
        <v>174</v>
      </c>
      <c r="C43" s="167" t="s">
        <v>175</v>
      </c>
      <c r="D43" s="167" t="s">
        <v>554</v>
      </c>
      <c r="E43" s="168">
        <v>48000000</v>
      </c>
      <c r="F43" s="168">
        <v>45684167</v>
      </c>
      <c r="G43" s="168">
        <v>45684167</v>
      </c>
      <c r="H43" s="168">
        <v>0</v>
      </c>
      <c r="I43" s="168">
        <v>500000</v>
      </c>
      <c r="J43" s="168">
        <v>0</v>
      </c>
      <c r="K43" s="168">
        <v>25048981</v>
      </c>
      <c r="L43" s="168">
        <v>25048981</v>
      </c>
      <c r="M43" s="168">
        <v>20135186</v>
      </c>
      <c r="N43" s="168">
        <v>20135186</v>
      </c>
    </row>
    <row r="44" spans="1:14" x14ac:dyDescent="0.25">
      <c r="A44" s="167" t="s">
        <v>555</v>
      </c>
      <c r="B44" s="167" t="s">
        <v>176</v>
      </c>
      <c r="C44" s="167" t="s">
        <v>177</v>
      </c>
      <c r="D44" s="167" t="s">
        <v>554</v>
      </c>
      <c r="E44" s="168">
        <v>4450500</v>
      </c>
      <c r="F44" s="168">
        <v>3435500</v>
      </c>
      <c r="G44" s="168">
        <v>3435500</v>
      </c>
      <c r="H44" s="168">
        <v>0</v>
      </c>
      <c r="I44" s="168">
        <v>278044.96999999997</v>
      </c>
      <c r="J44" s="168">
        <v>0</v>
      </c>
      <c r="K44" s="168">
        <v>2353887.23</v>
      </c>
      <c r="L44" s="168">
        <v>2204127.23</v>
      </c>
      <c r="M44" s="168">
        <v>803567.8</v>
      </c>
      <c r="N44" s="168">
        <v>803567.8</v>
      </c>
    </row>
    <row r="45" spans="1:14" x14ac:dyDescent="0.25">
      <c r="A45" s="167" t="s">
        <v>555</v>
      </c>
      <c r="B45" s="167" t="s">
        <v>317</v>
      </c>
      <c r="C45" s="167" t="s">
        <v>318</v>
      </c>
      <c r="D45" s="167" t="s">
        <v>554</v>
      </c>
      <c r="E45" s="168">
        <v>0</v>
      </c>
      <c r="F45" s="168">
        <v>285000</v>
      </c>
      <c r="G45" s="168">
        <v>285000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285000</v>
      </c>
      <c r="N45" s="168">
        <v>285000</v>
      </c>
    </row>
    <row r="46" spans="1:14" x14ac:dyDescent="0.25">
      <c r="A46" s="167" t="s">
        <v>555</v>
      </c>
      <c r="B46" s="167" t="s">
        <v>178</v>
      </c>
      <c r="C46" s="167" t="s">
        <v>179</v>
      </c>
      <c r="D46" s="167" t="s">
        <v>554</v>
      </c>
      <c r="E46" s="168">
        <v>3415500</v>
      </c>
      <c r="F46" s="168">
        <v>2115500</v>
      </c>
      <c r="G46" s="168">
        <v>2115500</v>
      </c>
      <c r="H46" s="168">
        <v>0</v>
      </c>
      <c r="I46" s="168">
        <v>149760</v>
      </c>
      <c r="J46" s="168">
        <v>0</v>
      </c>
      <c r="K46" s="168">
        <v>1771211.2</v>
      </c>
      <c r="L46" s="168">
        <v>1621451.2</v>
      </c>
      <c r="M46" s="168">
        <v>194528.8</v>
      </c>
      <c r="N46" s="168">
        <v>194528.8</v>
      </c>
    </row>
    <row r="47" spans="1:14" x14ac:dyDescent="0.25">
      <c r="A47" s="167" t="s">
        <v>555</v>
      </c>
      <c r="B47" s="167" t="s">
        <v>180</v>
      </c>
      <c r="C47" s="167" t="s">
        <v>181</v>
      </c>
      <c r="D47" s="167" t="s">
        <v>554</v>
      </c>
      <c r="E47" s="168">
        <v>1035000</v>
      </c>
      <c r="F47" s="168">
        <v>1035000</v>
      </c>
      <c r="G47" s="168">
        <v>1035000</v>
      </c>
      <c r="H47" s="168">
        <v>0</v>
      </c>
      <c r="I47" s="168">
        <v>128284.97</v>
      </c>
      <c r="J47" s="168">
        <v>0</v>
      </c>
      <c r="K47" s="168">
        <v>582676.03</v>
      </c>
      <c r="L47" s="168">
        <v>582676.03</v>
      </c>
      <c r="M47" s="168">
        <v>324039</v>
      </c>
      <c r="N47" s="168">
        <v>324039</v>
      </c>
    </row>
    <row r="48" spans="1:14" x14ac:dyDescent="0.25">
      <c r="A48" s="167" t="s">
        <v>555</v>
      </c>
      <c r="B48" s="167" t="s">
        <v>182</v>
      </c>
      <c r="C48" s="167" t="s">
        <v>183</v>
      </c>
      <c r="D48" s="167" t="s">
        <v>554</v>
      </c>
      <c r="E48" s="168">
        <v>10990000</v>
      </c>
      <c r="F48" s="168">
        <v>11490000</v>
      </c>
      <c r="G48" s="168">
        <v>11490000</v>
      </c>
      <c r="H48" s="168">
        <v>0</v>
      </c>
      <c r="I48" s="168">
        <v>1650000</v>
      </c>
      <c r="J48" s="168">
        <v>0</v>
      </c>
      <c r="K48" s="168">
        <v>7862339.5800000001</v>
      </c>
      <c r="L48" s="168">
        <v>7618993.4699999997</v>
      </c>
      <c r="M48" s="168">
        <v>1977660.42</v>
      </c>
      <c r="N48" s="168">
        <v>1977660.42</v>
      </c>
    </row>
    <row r="49" spans="1:14" x14ac:dyDescent="0.25">
      <c r="A49" s="167" t="s">
        <v>555</v>
      </c>
      <c r="B49" s="167" t="s">
        <v>342</v>
      </c>
      <c r="C49" s="167" t="s">
        <v>343</v>
      </c>
      <c r="D49" s="167" t="s">
        <v>554</v>
      </c>
      <c r="E49" s="168">
        <v>200000</v>
      </c>
      <c r="F49" s="168">
        <v>200000</v>
      </c>
      <c r="G49" s="168">
        <v>200000</v>
      </c>
      <c r="H49" s="168">
        <v>0</v>
      </c>
      <c r="I49" s="168">
        <v>0</v>
      </c>
      <c r="J49" s="168">
        <v>0</v>
      </c>
      <c r="K49" s="168">
        <v>0</v>
      </c>
      <c r="L49" s="168">
        <v>0</v>
      </c>
      <c r="M49" s="168">
        <v>200000</v>
      </c>
      <c r="N49" s="168">
        <v>200000</v>
      </c>
    </row>
    <row r="50" spans="1:14" x14ac:dyDescent="0.25">
      <c r="A50" s="167" t="s">
        <v>555</v>
      </c>
      <c r="B50" s="167" t="s">
        <v>186</v>
      </c>
      <c r="C50" s="167" t="s">
        <v>187</v>
      </c>
      <c r="D50" s="167" t="s">
        <v>554</v>
      </c>
      <c r="E50" s="168">
        <v>5000000</v>
      </c>
      <c r="F50" s="168">
        <v>5000000</v>
      </c>
      <c r="G50" s="168">
        <v>5000000</v>
      </c>
      <c r="H50" s="168">
        <v>0</v>
      </c>
      <c r="I50" s="168">
        <v>1200000</v>
      </c>
      <c r="J50" s="168">
        <v>0</v>
      </c>
      <c r="K50" s="168">
        <v>2425837.83</v>
      </c>
      <c r="L50" s="168">
        <v>2425837.83</v>
      </c>
      <c r="M50" s="168">
        <v>1374162.17</v>
      </c>
      <c r="N50" s="168">
        <v>1374162.17</v>
      </c>
    </row>
    <row r="51" spans="1:14" x14ac:dyDescent="0.25">
      <c r="A51" s="167" t="s">
        <v>555</v>
      </c>
      <c r="B51" s="167" t="s">
        <v>190</v>
      </c>
      <c r="C51" s="167" t="s">
        <v>191</v>
      </c>
      <c r="D51" s="167" t="s">
        <v>554</v>
      </c>
      <c r="E51" s="168">
        <v>4000000</v>
      </c>
      <c r="F51" s="168">
        <v>4500000</v>
      </c>
      <c r="G51" s="168">
        <v>4500000</v>
      </c>
      <c r="H51" s="168">
        <v>0</v>
      </c>
      <c r="I51" s="168">
        <v>0</v>
      </c>
      <c r="J51" s="168">
        <v>0</v>
      </c>
      <c r="K51" s="168">
        <v>4185925</v>
      </c>
      <c r="L51" s="168">
        <v>4185925</v>
      </c>
      <c r="M51" s="168">
        <v>314075</v>
      </c>
      <c r="N51" s="168">
        <v>314075</v>
      </c>
    </row>
    <row r="52" spans="1:14" x14ac:dyDescent="0.25">
      <c r="A52" s="167" t="s">
        <v>555</v>
      </c>
      <c r="B52" s="167" t="s">
        <v>192</v>
      </c>
      <c r="C52" s="167" t="s">
        <v>193</v>
      </c>
      <c r="D52" s="167" t="s">
        <v>554</v>
      </c>
      <c r="E52" s="168">
        <v>290000</v>
      </c>
      <c r="F52" s="168">
        <v>290000</v>
      </c>
      <c r="G52" s="168">
        <v>290000</v>
      </c>
      <c r="H52" s="168">
        <v>0</v>
      </c>
      <c r="I52" s="168">
        <v>0</v>
      </c>
      <c r="J52" s="168">
        <v>0</v>
      </c>
      <c r="K52" s="168">
        <v>290000</v>
      </c>
      <c r="L52" s="168">
        <v>290000</v>
      </c>
      <c r="M52" s="168">
        <v>0</v>
      </c>
      <c r="N52" s="168">
        <v>0</v>
      </c>
    </row>
    <row r="53" spans="1:14" x14ac:dyDescent="0.25">
      <c r="A53" s="167" t="s">
        <v>555</v>
      </c>
      <c r="B53" s="167" t="s">
        <v>194</v>
      </c>
      <c r="C53" s="167" t="s">
        <v>195</v>
      </c>
      <c r="D53" s="167" t="s">
        <v>554</v>
      </c>
      <c r="E53" s="168">
        <v>1500000</v>
      </c>
      <c r="F53" s="168">
        <v>1500000</v>
      </c>
      <c r="G53" s="168">
        <v>1500000</v>
      </c>
      <c r="H53" s="168">
        <v>0</v>
      </c>
      <c r="I53" s="168">
        <v>450000</v>
      </c>
      <c r="J53" s="168">
        <v>0</v>
      </c>
      <c r="K53" s="168">
        <v>960576.75</v>
      </c>
      <c r="L53" s="168">
        <v>717230.64</v>
      </c>
      <c r="M53" s="168">
        <v>89423.25</v>
      </c>
      <c r="N53" s="168">
        <v>89423.25</v>
      </c>
    </row>
    <row r="54" spans="1:14" x14ac:dyDescent="0.25">
      <c r="A54" s="167" t="s">
        <v>555</v>
      </c>
      <c r="B54" s="167" t="s">
        <v>196</v>
      </c>
      <c r="C54" s="167" t="s">
        <v>197</v>
      </c>
      <c r="D54" s="167" t="s">
        <v>554</v>
      </c>
      <c r="E54" s="168">
        <v>1500000</v>
      </c>
      <c r="F54" s="168">
        <v>1500000</v>
      </c>
      <c r="G54" s="168">
        <v>1500000</v>
      </c>
      <c r="H54" s="168">
        <v>0</v>
      </c>
      <c r="I54" s="168">
        <v>471028</v>
      </c>
      <c r="J54" s="168">
        <v>0</v>
      </c>
      <c r="K54" s="168">
        <v>1028972</v>
      </c>
      <c r="L54" s="168">
        <v>0</v>
      </c>
      <c r="M54" s="168">
        <v>0</v>
      </c>
      <c r="N54" s="168">
        <v>0</v>
      </c>
    </row>
    <row r="55" spans="1:14" x14ac:dyDescent="0.25">
      <c r="A55" s="167" t="s">
        <v>555</v>
      </c>
      <c r="B55" s="167" t="s">
        <v>198</v>
      </c>
      <c r="C55" s="167" t="s">
        <v>199</v>
      </c>
      <c r="D55" s="167" t="s">
        <v>554</v>
      </c>
      <c r="E55" s="168">
        <v>1500000</v>
      </c>
      <c r="F55" s="168">
        <v>1500000</v>
      </c>
      <c r="G55" s="168">
        <v>1500000</v>
      </c>
      <c r="H55" s="168">
        <v>0</v>
      </c>
      <c r="I55" s="168">
        <v>471028</v>
      </c>
      <c r="J55" s="168">
        <v>0</v>
      </c>
      <c r="K55" s="168">
        <v>1028972</v>
      </c>
      <c r="L55" s="168">
        <v>0</v>
      </c>
      <c r="M55" s="168">
        <v>0</v>
      </c>
      <c r="N55" s="168">
        <v>0</v>
      </c>
    </row>
    <row r="56" spans="1:14" x14ac:dyDescent="0.25">
      <c r="A56" s="167" t="s">
        <v>555</v>
      </c>
      <c r="B56" s="167" t="s">
        <v>200</v>
      </c>
      <c r="C56" s="167" t="s">
        <v>201</v>
      </c>
      <c r="D56" s="167" t="s">
        <v>554</v>
      </c>
      <c r="E56" s="168">
        <v>1000000</v>
      </c>
      <c r="F56" s="168">
        <v>1000000</v>
      </c>
      <c r="G56" s="168">
        <v>1000000</v>
      </c>
      <c r="H56" s="168">
        <v>0</v>
      </c>
      <c r="I56" s="168">
        <v>200000</v>
      </c>
      <c r="J56" s="168">
        <v>0</v>
      </c>
      <c r="K56" s="168">
        <v>200000</v>
      </c>
      <c r="L56" s="168">
        <v>200000</v>
      </c>
      <c r="M56" s="168">
        <v>600000</v>
      </c>
      <c r="N56" s="168">
        <v>600000</v>
      </c>
    </row>
    <row r="57" spans="1:14" x14ac:dyDescent="0.25">
      <c r="A57" s="167" t="s">
        <v>555</v>
      </c>
      <c r="B57" s="167" t="s">
        <v>202</v>
      </c>
      <c r="C57" s="167" t="s">
        <v>203</v>
      </c>
      <c r="D57" s="167" t="s">
        <v>554</v>
      </c>
      <c r="E57" s="168">
        <v>1000000</v>
      </c>
      <c r="F57" s="168">
        <v>1000000</v>
      </c>
      <c r="G57" s="168">
        <v>1000000</v>
      </c>
      <c r="H57" s="168">
        <v>0</v>
      </c>
      <c r="I57" s="168">
        <v>200000</v>
      </c>
      <c r="J57" s="168">
        <v>0</v>
      </c>
      <c r="K57" s="168">
        <v>200000</v>
      </c>
      <c r="L57" s="168">
        <v>200000</v>
      </c>
      <c r="M57" s="168">
        <v>600000</v>
      </c>
      <c r="N57" s="168">
        <v>600000</v>
      </c>
    </row>
    <row r="58" spans="1:14" x14ac:dyDescent="0.25">
      <c r="A58" s="167" t="s">
        <v>555</v>
      </c>
      <c r="B58" s="167" t="s">
        <v>204</v>
      </c>
      <c r="C58" s="167" t="s">
        <v>205</v>
      </c>
      <c r="D58" s="167" t="s">
        <v>554</v>
      </c>
      <c r="E58" s="168">
        <v>65846825</v>
      </c>
      <c r="F58" s="168">
        <v>52978867</v>
      </c>
      <c r="G58" s="168">
        <v>52978867</v>
      </c>
      <c r="H58" s="168">
        <v>70800</v>
      </c>
      <c r="I58" s="168">
        <v>1908468.63</v>
      </c>
      <c r="J58" s="168">
        <v>0</v>
      </c>
      <c r="K58" s="168">
        <v>43958814.07</v>
      </c>
      <c r="L58" s="168">
        <v>41947962.369999997</v>
      </c>
      <c r="M58" s="168">
        <v>7040784.2999999998</v>
      </c>
      <c r="N58" s="168">
        <v>7040784.2999999998</v>
      </c>
    </row>
    <row r="59" spans="1:14" x14ac:dyDescent="0.25">
      <c r="A59" s="167" t="s">
        <v>555</v>
      </c>
      <c r="B59" s="167" t="s">
        <v>206</v>
      </c>
      <c r="C59" s="167" t="s">
        <v>207</v>
      </c>
      <c r="D59" s="167" t="s">
        <v>554</v>
      </c>
      <c r="E59" s="168">
        <v>30314575</v>
      </c>
      <c r="F59" s="168">
        <v>17131278</v>
      </c>
      <c r="G59" s="168">
        <v>17131278</v>
      </c>
      <c r="H59" s="168">
        <v>0</v>
      </c>
      <c r="I59" s="168">
        <v>1810243.63</v>
      </c>
      <c r="J59" s="168">
        <v>0</v>
      </c>
      <c r="K59" s="168">
        <v>10495144.73</v>
      </c>
      <c r="L59" s="168">
        <v>10151563.029999999</v>
      </c>
      <c r="M59" s="168">
        <v>4825889.6399999997</v>
      </c>
      <c r="N59" s="168">
        <v>4825889.6399999997</v>
      </c>
    </row>
    <row r="60" spans="1:14" x14ac:dyDescent="0.25">
      <c r="A60" s="167" t="s">
        <v>555</v>
      </c>
      <c r="B60" s="167" t="s">
        <v>208</v>
      </c>
      <c r="C60" s="167" t="s">
        <v>209</v>
      </c>
      <c r="D60" s="167" t="s">
        <v>554</v>
      </c>
      <c r="E60" s="168">
        <v>25000000</v>
      </c>
      <c r="F60" s="168">
        <v>14742800</v>
      </c>
      <c r="G60" s="168">
        <v>14742800</v>
      </c>
      <c r="H60" s="168">
        <v>0</v>
      </c>
      <c r="I60" s="168">
        <v>1810243.63</v>
      </c>
      <c r="J60" s="168">
        <v>0</v>
      </c>
      <c r="K60" s="168">
        <v>8353914.3700000001</v>
      </c>
      <c r="L60" s="168">
        <v>8010332.6699999999</v>
      </c>
      <c r="M60" s="168">
        <v>4578642</v>
      </c>
      <c r="N60" s="168">
        <v>4578642</v>
      </c>
    </row>
    <row r="61" spans="1:14" x14ac:dyDescent="0.25">
      <c r="A61" s="167" t="s">
        <v>555</v>
      </c>
      <c r="B61" s="167" t="s">
        <v>210</v>
      </c>
      <c r="C61" s="167" t="s">
        <v>211</v>
      </c>
      <c r="D61" s="167" t="s">
        <v>554</v>
      </c>
      <c r="E61" s="168">
        <v>4652325</v>
      </c>
      <c r="F61" s="168">
        <v>2149425</v>
      </c>
      <c r="G61" s="168">
        <v>2149425</v>
      </c>
      <c r="H61" s="168">
        <v>0</v>
      </c>
      <c r="I61" s="168">
        <v>0</v>
      </c>
      <c r="J61" s="168">
        <v>0</v>
      </c>
      <c r="K61" s="168">
        <v>1935687.36</v>
      </c>
      <c r="L61" s="168">
        <v>1935687.36</v>
      </c>
      <c r="M61" s="168">
        <v>213737.64</v>
      </c>
      <c r="N61" s="168">
        <v>213737.64</v>
      </c>
    </row>
    <row r="62" spans="1:14" x14ac:dyDescent="0.25">
      <c r="A62" s="167" t="s">
        <v>555</v>
      </c>
      <c r="B62" s="167" t="s">
        <v>212</v>
      </c>
      <c r="C62" s="167" t="s">
        <v>213</v>
      </c>
      <c r="D62" s="167" t="s">
        <v>554</v>
      </c>
      <c r="E62" s="168">
        <v>300000</v>
      </c>
      <c r="F62" s="168">
        <v>129053</v>
      </c>
      <c r="G62" s="168">
        <v>129053</v>
      </c>
      <c r="H62" s="168">
        <v>0</v>
      </c>
      <c r="I62" s="168">
        <v>0</v>
      </c>
      <c r="J62" s="168">
        <v>0</v>
      </c>
      <c r="K62" s="168">
        <v>125543</v>
      </c>
      <c r="L62" s="168">
        <v>125543</v>
      </c>
      <c r="M62" s="168">
        <v>3510</v>
      </c>
      <c r="N62" s="168">
        <v>3510</v>
      </c>
    </row>
    <row r="63" spans="1:14" x14ac:dyDescent="0.25">
      <c r="A63" s="167" t="s">
        <v>555</v>
      </c>
      <c r="B63" s="167" t="s">
        <v>214</v>
      </c>
      <c r="C63" s="167" t="s">
        <v>215</v>
      </c>
      <c r="D63" s="167" t="s">
        <v>554</v>
      </c>
      <c r="E63" s="168">
        <v>362250</v>
      </c>
      <c r="F63" s="168">
        <v>110000</v>
      </c>
      <c r="G63" s="168">
        <v>110000</v>
      </c>
      <c r="H63" s="168">
        <v>0</v>
      </c>
      <c r="I63" s="168">
        <v>0</v>
      </c>
      <c r="J63" s="168">
        <v>0</v>
      </c>
      <c r="K63" s="168">
        <v>80000</v>
      </c>
      <c r="L63" s="168">
        <v>80000</v>
      </c>
      <c r="M63" s="168">
        <v>30000</v>
      </c>
      <c r="N63" s="168">
        <v>30000</v>
      </c>
    </row>
    <row r="64" spans="1:14" x14ac:dyDescent="0.25">
      <c r="A64" s="167" t="s">
        <v>555</v>
      </c>
      <c r="B64" s="167" t="s">
        <v>216</v>
      </c>
      <c r="C64" s="167" t="s">
        <v>217</v>
      </c>
      <c r="D64" s="167" t="s">
        <v>554</v>
      </c>
      <c r="E64" s="168">
        <v>3001500</v>
      </c>
      <c r="F64" s="168">
        <v>3001500</v>
      </c>
      <c r="G64" s="168">
        <v>3001500</v>
      </c>
      <c r="H64" s="168">
        <v>0</v>
      </c>
      <c r="I64" s="168">
        <v>44455</v>
      </c>
      <c r="J64" s="168">
        <v>0</v>
      </c>
      <c r="K64" s="168">
        <v>2957045</v>
      </c>
      <c r="L64" s="168">
        <v>2957045</v>
      </c>
      <c r="M64" s="168">
        <v>0</v>
      </c>
      <c r="N64" s="168">
        <v>0</v>
      </c>
    </row>
    <row r="65" spans="1:14" x14ac:dyDescent="0.25">
      <c r="A65" s="167" t="s">
        <v>555</v>
      </c>
      <c r="B65" s="167" t="s">
        <v>218</v>
      </c>
      <c r="C65" s="167" t="s">
        <v>219</v>
      </c>
      <c r="D65" s="167" t="s">
        <v>554</v>
      </c>
      <c r="E65" s="168">
        <v>3001500</v>
      </c>
      <c r="F65" s="168">
        <v>3001500</v>
      </c>
      <c r="G65" s="168">
        <v>3001500</v>
      </c>
      <c r="H65" s="168">
        <v>0</v>
      </c>
      <c r="I65" s="168">
        <v>44455</v>
      </c>
      <c r="J65" s="168">
        <v>0</v>
      </c>
      <c r="K65" s="168">
        <v>2957045</v>
      </c>
      <c r="L65" s="168">
        <v>2957045</v>
      </c>
      <c r="M65" s="168">
        <v>0</v>
      </c>
      <c r="N65" s="168">
        <v>0</v>
      </c>
    </row>
    <row r="66" spans="1:14" x14ac:dyDescent="0.25">
      <c r="A66" s="167" t="s">
        <v>555</v>
      </c>
      <c r="B66" s="167" t="s">
        <v>220</v>
      </c>
      <c r="C66" s="167" t="s">
        <v>221</v>
      </c>
      <c r="D66" s="167" t="s">
        <v>554</v>
      </c>
      <c r="E66" s="168">
        <v>10140000</v>
      </c>
      <c r="F66" s="168">
        <v>11644800</v>
      </c>
      <c r="G66" s="168">
        <v>11644800</v>
      </c>
      <c r="H66" s="168">
        <v>0</v>
      </c>
      <c r="I66" s="168">
        <v>0</v>
      </c>
      <c r="J66" s="168">
        <v>0</v>
      </c>
      <c r="K66" s="168">
        <v>11610320.109999999</v>
      </c>
      <c r="L66" s="168">
        <v>11610320.109999999</v>
      </c>
      <c r="M66" s="168">
        <v>34479.89</v>
      </c>
      <c r="N66" s="168">
        <v>34479.89</v>
      </c>
    </row>
    <row r="67" spans="1:14" x14ac:dyDescent="0.25">
      <c r="A67" s="167" t="s">
        <v>555</v>
      </c>
      <c r="B67" s="167" t="s">
        <v>222</v>
      </c>
      <c r="C67" s="167" t="s">
        <v>223</v>
      </c>
      <c r="D67" s="167" t="s">
        <v>554</v>
      </c>
      <c r="E67" s="168">
        <v>1000000</v>
      </c>
      <c r="F67" s="168">
        <v>0</v>
      </c>
      <c r="G67" s="168">
        <v>0</v>
      </c>
      <c r="H67" s="168">
        <v>0</v>
      </c>
      <c r="I67" s="168">
        <v>0</v>
      </c>
      <c r="J67" s="168">
        <v>0</v>
      </c>
      <c r="K67" s="168">
        <v>0</v>
      </c>
      <c r="L67" s="168">
        <v>0</v>
      </c>
      <c r="M67" s="168">
        <v>0</v>
      </c>
      <c r="N67" s="168">
        <v>0</v>
      </c>
    </row>
    <row r="68" spans="1:14" x14ac:dyDescent="0.25">
      <c r="A68" s="167" t="s">
        <v>555</v>
      </c>
      <c r="B68" s="167" t="s">
        <v>224</v>
      </c>
      <c r="C68" s="167" t="s">
        <v>225</v>
      </c>
      <c r="D68" s="167" t="s">
        <v>554</v>
      </c>
      <c r="E68" s="168">
        <v>5000000</v>
      </c>
      <c r="F68" s="168">
        <v>8500000</v>
      </c>
      <c r="G68" s="168">
        <v>8500000</v>
      </c>
      <c r="H68" s="168">
        <v>0</v>
      </c>
      <c r="I68" s="168">
        <v>0</v>
      </c>
      <c r="J68" s="168">
        <v>0</v>
      </c>
      <c r="K68" s="168">
        <v>8488738.8100000005</v>
      </c>
      <c r="L68" s="168">
        <v>8488738.8100000005</v>
      </c>
      <c r="M68" s="168">
        <v>11261.19</v>
      </c>
      <c r="N68" s="168">
        <v>11261.19</v>
      </c>
    </row>
    <row r="69" spans="1:14" x14ac:dyDescent="0.25">
      <c r="A69" s="167" t="s">
        <v>555</v>
      </c>
      <c r="B69" s="167" t="s">
        <v>230</v>
      </c>
      <c r="C69" s="167" t="s">
        <v>231</v>
      </c>
      <c r="D69" s="167" t="s">
        <v>554</v>
      </c>
      <c r="E69" s="168">
        <v>4140000</v>
      </c>
      <c r="F69" s="168">
        <v>3144800</v>
      </c>
      <c r="G69" s="168">
        <v>3144800</v>
      </c>
      <c r="H69" s="168">
        <v>0</v>
      </c>
      <c r="I69" s="168">
        <v>0</v>
      </c>
      <c r="J69" s="168">
        <v>0</v>
      </c>
      <c r="K69" s="168">
        <v>3121581.3</v>
      </c>
      <c r="L69" s="168">
        <v>3121581.3</v>
      </c>
      <c r="M69" s="168">
        <v>23218.7</v>
      </c>
      <c r="N69" s="168">
        <v>23218.7</v>
      </c>
    </row>
    <row r="70" spans="1:14" x14ac:dyDescent="0.25">
      <c r="A70" s="167" t="s">
        <v>555</v>
      </c>
      <c r="B70" s="167" t="s">
        <v>232</v>
      </c>
      <c r="C70" s="167" t="s">
        <v>233</v>
      </c>
      <c r="D70" s="167" t="s">
        <v>554</v>
      </c>
      <c r="E70" s="168">
        <v>1759500</v>
      </c>
      <c r="F70" s="168">
        <v>859500</v>
      </c>
      <c r="G70" s="168">
        <v>859500</v>
      </c>
      <c r="H70" s="168">
        <v>70800</v>
      </c>
      <c r="I70" s="168">
        <v>0</v>
      </c>
      <c r="J70" s="168">
        <v>0</v>
      </c>
      <c r="K70" s="168">
        <v>689910</v>
      </c>
      <c r="L70" s="168">
        <v>689910</v>
      </c>
      <c r="M70" s="168">
        <v>98790</v>
      </c>
      <c r="N70" s="168">
        <v>98790</v>
      </c>
    </row>
    <row r="71" spans="1:14" x14ac:dyDescent="0.25">
      <c r="A71" s="167" t="s">
        <v>555</v>
      </c>
      <c r="B71" s="167" t="s">
        <v>234</v>
      </c>
      <c r="C71" s="167" t="s">
        <v>235</v>
      </c>
      <c r="D71" s="167" t="s">
        <v>554</v>
      </c>
      <c r="E71" s="168">
        <v>0</v>
      </c>
      <c r="F71" s="168">
        <v>100000</v>
      </c>
      <c r="G71" s="168">
        <v>100000</v>
      </c>
      <c r="H71" s="168">
        <v>70800</v>
      </c>
      <c r="I71" s="168">
        <v>0</v>
      </c>
      <c r="J71" s="168">
        <v>0</v>
      </c>
      <c r="K71" s="168">
        <v>0</v>
      </c>
      <c r="L71" s="168">
        <v>0</v>
      </c>
      <c r="M71" s="168">
        <v>29200</v>
      </c>
      <c r="N71" s="168">
        <v>29200</v>
      </c>
    </row>
    <row r="72" spans="1:14" x14ac:dyDescent="0.25">
      <c r="A72" s="167" t="s">
        <v>555</v>
      </c>
      <c r="B72" s="167" t="s">
        <v>236</v>
      </c>
      <c r="C72" s="167" t="s">
        <v>237</v>
      </c>
      <c r="D72" s="167" t="s">
        <v>554</v>
      </c>
      <c r="E72" s="168">
        <v>1759500</v>
      </c>
      <c r="F72" s="168">
        <v>759500</v>
      </c>
      <c r="G72" s="168">
        <v>759500</v>
      </c>
      <c r="H72" s="168">
        <v>0</v>
      </c>
      <c r="I72" s="168">
        <v>0</v>
      </c>
      <c r="J72" s="168">
        <v>0</v>
      </c>
      <c r="K72" s="168">
        <v>689910</v>
      </c>
      <c r="L72" s="168">
        <v>689910</v>
      </c>
      <c r="M72" s="168">
        <v>69590</v>
      </c>
      <c r="N72" s="168">
        <v>69590</v>
      </c>
    </row>
    <row r="73" spans="1:14" x14ac:dyDescent="0.25">
      <c r="A73" s="167" t="s">
        <v>555</v>
      </c>
      <c r="B73" s="167" t="s">
        <v>238</v>
      </c>
      <c r="C73" s="167" t="s">
        <v>239</v>
      </c>
      <c r="D73" s="167" t="s">
        <v>554</v>
      </c>
      <c r="E73" s="168">
        <v>20631250</v>
      </c>
      <c r="F73" s="168">
        <v>20341789</v>
      </c>
      <c r="G73" s="168">
        <v>20341789</v>
      </c>
      <c r="H73" s="168">
        <v>0</v>
      </c>
      <c r="I73" s="168">
        <v>53770</v>
      </c>
      <c r="J73" s="168">
        <v>0</v>
      </c>
      <c r="K73" s="168">
        <v>18206394.23</v>
      </c>
      <c r="L73" s="168">
        <v>16539124.23</v>
      </c>
      <c r="M73" s="168">
        <v>2081624.77</v>
      </c>
      <c r="N73" s="168">
        <v>2081624.77</v>
      </c>
    </row>
    <row r="74" spans="1:14" x14ac:dyDescent="0.25">
      <c r="A74" s="167" t="s">
        <v>555</v>
      </c>
      <c r="B74" s="167" t="s">
        <v>240</v>
      </c>
      <c r="C74" s="167" t="s">
        <v>241</v>
      </c>
      <c r="D74" s="167" t="s">
        <v>554</v>
      </c>
      <c r="E74" s="168">
        <v>3500000</v>
      </c>
      <c r="F74" s="168">
        <v>2800938</v>
      </c>
      <c r="G74" s="168">
        <v>2800938</v>
      </c>
      <c r="H74" s="168">
        <v>0</v>
      </c>
      <c r="I74" s="168">
        <v>53770</v>
      </c>
      <c r="J74" s="168">
        <v>0</v>
      </c>
      <c r="K74" s="168">
        <v>2083217.8</v>
      </c>
      <c r="L74" s="168">
        <v>1778817.8</v>
      </c>
      <c r="M74" s="168">
        <v>663950.19999999995</v>
      </c>
      <c r="N74" s="168">
        <v>663950.19999999995</v>
      </c>
    </row>
    <row r="75" spans="1:14" x14ac:dyDescent="0.25">
      <c r="A75" s="167" t="s">
        <v>555</v>
      </c>
      <c r="B75" s="167" t="s">
        <v>242</v>
      </c>
      <c r="C75" s="167" t="s">
        <v>243</v>
      </c>
      <c r="D75" s="167" t="s">
        <v>554</v>
      </c>
      <c r="E75" s="168">
        <v>1500000</v>
      </c>
      <c r="F75" s="168">
        <v>2902900</v>
      </c>
      <c r="G75" s="168">
        <v>2902900</v>
      </c>
      <c r="H75" s="168">
        <v>0</v>
      </c>
      <c r="I75" s="168">
        <v>0</v>
      </c>
      <c r="J75" s="168">
        <v>0</v>
      </c>
      <c r="K75" s="168">
        <v>1952320.82</v>
      </c>
      <c r="L75" s="168">
        <v>1952320.82</v>
      </c>
      <c r="M75" s="168">
        <v>950579.18</v>
      </c>
      <c r="N75" s="168">
        <v>950579.18</v>
      </c>
    </row>
    <row r="76" spans="1:14" x14ac:dyDescent="0.25">
      <c r="A76" s="167" t="s">
        <v>555</v>
      </c>
      <c r="B76" s="167" t="s">
        <v>244</v>
      </c>
      <c r="C76" s="167" t="s">
        <v>245</v>
      </c>
      <c r="D76" s="167" t="s">
        <v>554</v>
      </c>
      <c r="E76" s="168">
        <v>12264750</v>
      </c>
      <c r="F76" s="168">
        <v>12264750</v>
      </c>
      <c r="G76" s="168">
        <v>12264750</v>
      </c>
      <c r="H76" s="168">
        <v>0</v>
      </c>
      <c r="I76" s="168">
        <v>0</v>
      </c>
      <c r="J76" s="168">
        <v>0</v>
      </c>
      <c r="K76" s="168">
        <v>12203876.25</v>
      </c>
      <c r="L76" s="168">
        <v>12203876.25</v>
      </c>
      <c r="M76" s="168">
        <v>60873.75</v>
      </c>
      <c r="N76" s="168">
        <v>60873.75</v>
      </c>
    </row>
    <row r="77" spans="1:14" x14ac:dyDescent="0.25">
      <c r="A77" s="167" t="s">
        <v>555</v>
      </c>
      <c r="B77" s="167" t="s">
        <v>246</v>
      </c>
      <c r="C77" s="167" t="s">
        <v>247</v>
      </c>
      <c r="D77" s="167" t="s">
        <v>554</v>
      </c>
      <c r="E77" s="168">
        <v>1200000</v>
      </c>
      <c r="F77" s="168">
        <v>1200000</v>
      </c>
      <c r="G77" s="168">
        <v>1200000</v>
      </c>
      <c r="H77" s="168">
        <v>0</v>
      </c>
      <c r="I77" s="168">
        <v>0</v>
      </c>
      <c r="J77" s="168">
        <v>0</v>
      </c>
      <c r="K77" s="168">
        <v>1188000</v>
      </c>
      <c r="L77" s="168">
        <v>0</v>
      </c>
      <c r="M77" s="168">
        <v>12000</v>
      </c>
      <c r="N77" s="168">
        <v>12000</v>
      </c>
    </row>
    <row r="78" spans="1:14" x14ac:dyDescent="0.25">
      <c r="A78" s="167" t="s">
        <v>555</v>
      </c>
      <c r="B78" s="167" t="s">
        <v>248</v>
      </c>
      <c r="C78" s="167" t="s">
        <v>249</v>
      </c>
      <c r="D78" s="167" t="s">
        <v>554</v>
      </c>
      <c r="E78" s="168">
        <v>1966500</v>
      </c>
      <c r="F78" s="168">
        <v>973201</v>
      </c>
      <c r="G78" s="168">
        <v>973201</v>
      </c>
      <c r="H78" s="168">
        <v>0</v>
      </c>
      <c r="I78" s="168">
        <v>0</v>
      </c>
      <c r="J78" s="168">
        <v>0</v>
      </c>
      <c r="K78" s="168">
        <v>662816.04</v>
      </c>
      <c r="L78" s="168">
        <v>487946.04</v>
      </c>
      <c r="M78" s="168">
        <v>310384.96000000002</v>
      </c>
      <c r="N78" s="168">
        <v>310384.96000000002</v>
      </c>
    </row>
    <row r="79" spans="1:14" x14ac:dyDescent="0.25">
      <c r="A79" s="167" t="s">
        <v>555</v>
      </c>
      <c r="B79" s="167" t="s">
        <v>254</v>
      </c>
      <c r="C79" s="167" t="s">
        <v>255</v>
      </c>
      <c r="D79" s="167" t="s">
        <v>554</v>
      </c>
      <c r="E79" s="168">
        <v>200000</v>
      </c>
      <c r="F79" s="168">
        <v>200000</v>
      </c>
      <c r="G79" s="168">
        <v>200000</v>
      </c>
      <c r="H79" s="168">
        <v>0</v>
      </c>
      <c r="I79" s="168">
        <v>0</v>
      </c>
      <c r="J79" s="168">
        <v>0</v>
      </c>
      <c r="K79" s="168">
        <v>116163.32</v>
      </c>
      <c r="L79" s="168">
        <v>116163.32</v>
      </c>
      <c r="M79" s="168">
        <v>83836.679999999993</v>
      </c>
      <c r="N79" s="168">
        <v>83836.679999999993</v>
      </c>
    </row>
    <row r="80" spans="1:14" x14ac:dyDescent="0.25">
      <c r="A80" s="167" t="s">
        <v>555</v>
      </c>
      <c r="B80" s="167" t="s">
        <v>286</v>
      </c>
      <c r="C80" s="167" t="s">
        <v>287</v>
      </c>
      <c r="D80" s="167" t="s">
        <v>556</v>
      </c>
      <c r="E80" s="168">
        <v>11881250</v>
      </c>
      <c r="F80" s="168">
        <v>11881250</v>
      </c>
      <c r="G80" s="168">
        <v>11881250</v>
      </c>
      <c r="H80" s="168">
        <v>800000</v>
      </c>
      <c r="I80" s="168">
        <v>0</v>
      </c>
      <c r="J80" s="168">
        <v>0</v>
      </c>
      <c r="K80" s="168">
        <v>10330355.27</v>
      </c>
      <c r="L80" s="168">
        <v>10330355.27</v>
      </c>
      <c r="M80" s="168">
        <v>750894.73</v>
      </c>
      <c r="N80" s="168">
        <v>750894.73</v>
      </c>
    </row>
    <row r="81" spans="1:14" x14ac:dyDescent="0.25">
      <c r="A81" s="167" t="s">
        <v>555</v>
      </c>
      <c r="B81" s="167" t="s">
        <v>288</v>
      </c>
      <c r="C81" s="167" t="s">
        <v>289</v>
      </c>
      <c r="D81" s="167" t="s">
        <v>556</v>
      </c>
      <c r="E81" s="168">
        <v>11881250</v>
      </c>
      <c r="F81" s="168">
        <v>11881250</v>
      </c>
      <c r="G81" s="168">
        <v>11881250</v>
      </c>
      <c r="H81" s="168">
        <v>800000</v>
      </c>
      <c r="I81" s="168">
        <v>0</v>
      </c>
      <c r="J81" s="168">
        <v>0</v>
      </c>
      <c r="K81" s="168">
        <v>10330355.27</v>
      </c>
      <c r="L81" s="168">
        <v>10330355.27</v>
      </c>
      <c r="M81" s="168">
        <v>750894.73</v>
      </c>
      <c r="N81" s="168">
        <v>750894.73</v>
      </c>
    </row>
    <row r="82" spans="1:14" x14ac:dyDescent="0.25">
      <c r="A82" s="167" t="s">
        <v>555</v>
      </c>
      <c r="B82" s="167" t="s">
        <v>292</v>
      </c>
      <c r="C82" s="167" t="s">
        <v>293</v>
      </c>
      <c r="D82" s="167" t="s">
        <v>556</v>
      </c>
      <c r="E82" s="168">
        <v>3405150</v>
      </c>
      <c r="F82" s="168">
        <v>1152281.05</v>
      </c>
      <c r="G82" s="168">
        <v>1152281.05</v>
      </c>
      <c r="H82" s="168">
        <v>800000</v>
      </c>
      <c r="I82" s="168">
        <v>0</v>
      </c>
      <c r="J82" s="168">
        <v>0</v>
      </c>
      <c r="K82" s="168">
        <v>300000</v>
      </c>
      <c r="L82" s="168">
        <v>300000</v>
      </c>
      <c r="M82" s="168">
        <v>52281.05</v>
      </c>
      <c r="N82" s="168">
        <v>52281.05</v>
      </c>
    </row>
    <row r="83" spans="1:14" x14ac:dyDescent="0.25">
      <c r="A83" s="167" t="s">
        <v>555</v>
      </c>
      <c r="B83" s="167" t="s">
        <v>294</v>
      </c>
      <c r="C83" s="167" t="s">
        <v>295</v>
      </c>
      <c r="D83" s="167" t="s">
        <v>556</v>
      </c>
      <c r="E83" s="168">
        <v>8000000</v>
      </c>
      <c r="F83" s="168">
        <v>10170868.949999999</v>
      </c>
      <c r="G83" s="168">
        <v>10170868.949999999</v>
      </c>
      <c r="H83" s="168">
        <v>0</v>
      </c>
      <c r="I83" s="168">
        <v>0</v>
      </c>
      <c r="J83" s="168">
        <v>0</v>
      </c>
      <c r="K83" s="168">
        <v>9557355.2699999996</v>
      </c>
      <c r="L83" s="168">
        <v>9557355.2699999996</v>
      </c>
      <c r="M83" s="168">
        <v>613513.68000000005</v>
      </c>
      <c r="N83" s="168">
        <v>613513.68000000005</v>
      </c>
    </row>
    <row r="84" spans="1:14" x14ac:dyDescent="0.25">
      <c r="A84" s="167" t="s">
        <v>555</v>
      </c>
      <c r="B84" s="167" t="s">
        <v>298</v>
      </c>
      <c r="C84" s="167" t="s">
        <v>299</v>
      </c>
      <c r="D84" s="167" t="s">
        <v>556</v>
      </c>
      <c r="E84" s="168">
        <v>476100</v>
      </c>
      <c r="F84" s="168">
        <v>476100</v>
      </c>
      <c r="G84" s="168">
        <v>476100</v>
      </c>
      <c r="H84" s="168">
        <v>0</v>
      </c>
      <c r="I84" s="168">
        <v>0</v>
      </c>
      <c r="J84" s="168">
        <v>0</v>
      </c>
      <c r="K84" s="168">
        <v>391000</v>
      </c>
      <c r="L84" s="168">
        <v>391000</v>
      </c>
      <c r="M84" s="168">
        <v>85100</v>
      </c>
      <c r="N84" s="168">
        <v>85100</v>
      </c>
    </row>
    <row r="85" spans="1:14" x14ac:dyDescent="0.25">
      <c r="A85" s="167" t="s">
        <v>555</v>
      </c>
      <c r="B85" s="167" t="s">
        <v>302</v>
      </c>
      <c r="C85" s="167" t="s">
        <v>303</v>
      </c>
      <c r="D85" s="167" t="s">
        <v>556</v>
      </c>
      <c r="E85" s="168">
        <v>0</v>
      </c>
      <c r="F85" s="168">
        <v>82000</v>
      </c>
      <c r="G85" s="168">
        <v>82000</v>
      </c>
      <c r="H85" s="168">
        <v>0</v>
      </c>
      <c r="I85" s="168">
        <v>0</v>
      </c>
      <c r="J85" s="168">
        <v>0</v>
      </c>
      <c r="K85" s="168">
        <v>82000</v>
      </c>
      <c r="L85" s="168">
        <v>82000</v>
      </c>
      <c r="M85" s="168">
        <v>0</v>
      </c>
      <c r="N85" s="168">
        <v>0</v>
      </c>
    </row>
    <row r="86" spans="1:14" x14ac:dyDescent="0.25">
      <c r="A86" s="167" t="s">
        <v>555</v>
      </c>
      <c r="B86" s="167" t="s">
        <v>256</v>
      </c>
      <c r="C86" s="167" t="s">
        <v>257</v>
      </c>
      <c r="D86" s="167" t="s">
        <v>554</v>
      </c>
      <c r="E86" s="168">
        <v>823577000</v>
      </c>
      <c r="F86" s="168">
        <v>827844879</v>
      </c>
      <c r="G86" s="168">
        <v>827844879</v>
      </c>
      <c r="H86" s="168">
        <v>0</v>
      </c>
      <c r="I86" s="168">
        <v>20371.22</v>
      </c>
      <c r="J86" s="168">
        <v>0</v>
      </c>
      <c r="K86" s="168">
        <v>809590143.25</v>
      </c>
      <c r="L86" s="168">
        <v>809590143.25</v>
      </c>
      <c r="M86" s="168">
        <v>18234364.530000001</v>
      </c>
      <c r="N86" s="168">
        <v>18234364.530000001</v>
      </c>
    </row>
    <row r="87" spans="1:14" x14ac:dyDescent="0.25">
      <c r="A87" s="167" t="s">
        <v>555</v>
      </c>
      <c r="B87" s="167" t="s">
        <v>258</v>
      </c>
      <c r="C87" s="167" t="s">
        <v>259</v>
      </c>
      <c r="D87" s="167" t="s">
        <v>554</v>
      </c>
      <c r="E87" s="168">
        <v>412445000</v>
      </c>
      <c r="F87" s="168">
        <v>390706879</v>
      </c>
      <c r="G87" s="168">
        <v>390706879</v>
      </c>
      <c r="H87" s="168">
        <v>0</v>
      </c>
      <c r="I87" s="168">
        <v>0</v>
      </c>
      <c r="J87" s="168">
        <v>0</v>
      </c>
      <c r="K87" s="168">
        <v>389412794</v>
      </c>
      <c r="L87" s="168">
        <v>389412794</v>
      </c>
      <c r="M87" s="168">
        <v>1294085</v>
      </c>
      <c r="N87" s="168">
        <v>1294085</v>
      </c>
    </row>
    <row r="88" spans="1:14" x14ac:dyDescent="0.25">
      <c r="A88" s="167" t="s">
        <v>555</v>
      </c>
      <c r="B88" s="167" t="s">
        <v>260</v>
      </c>
      <c r="C88" s="167" t="s">
        <v>261</v>
      </c>
      <c r="D88" s="167" t="s">
        <v>554</v>
      </c>
      <c r="E88" s="168">
        <v>2000000</v>
      </c>
      <c r="F88" s="168">
        <v>2000000</v>
      </c>
      <c r="G88" s="168">
        <v>2000000</v>
      </c>
      <c r="H88" s="168">
        <v>0</v>
      </c>
      <c r="I88" s="168">
        <v>0</v>
      </c>
      <c r="J88" s="168">
        <v>0</v>
      </c>
      <c r="K88" s="168">
        <v>2000000</v>
      </c>
      <c r="L88" s="168">
        <v>2000000</v>
      </c>
      <c r="M88" s="168">
        <v>0</v>
      </c>
      <c r="N88" s="168">
        <v>0</v>
      </c>
    </row>
    <row r="89" spans="1:14" x14ac:dyDescent="0.25">
      <c r="A89" s="167" t="s">
        <v>555</v>
      </c>
      <c r="B89" s="167" t="s">
        <v>262</v>
      </c>
      <c r="C89" s="167" t="s">
        <v>263</v>
      </c>
      <c r="D89" s="167" t="s">
        <v>554</v>
      </c>
      <c r="E89" s="168">
        <v>400000000</v>
      </c>
      <c r="F89" s="168">
        <v>378298220</v>
      </c>
      <c r="G89" s="168">
        <v>378298220</v>
      </c>
      <c r="H89" s="168">
        <v>0</v>
      </c>
      <c r="I89" s="168">
        <v>0</v>
      </c>
      <c r="J89" s="168">
        <v>0</v>
      </c>
      <c r="K89" s="168">
        <v>378298220</v>
      </c>
      <c r="L89" s="168">
        <v>378298220</v>
      </c>
      <c r="M89" s="168">
        <v>0</v>
      </c>
      <c r="N89" s="168">
        <v>0</v>
      </c>
    </row>
    <row r="90" spans="1:14" x14ac:dyDescent="0.25">
      <c r="A90" s="167" t="s">
        <v>555</v>
      </c>
      <c r="B90" s="167" t="s">
        <v>264</v>
      </c>
      <c r="C90" s="167" t="s">
        <v>265</v>
      </c>
      <c r="D90" s="167" t="s">
        <v>554</v>
      </c>
      <c r="E90" s="168">
        <v>7299000</v>
      </c>
      <c r="F90" s="168">
        <v>7273677</v>
      </c>
      <c r="G90" s="168">
        <v>7273677</v>
      </c>
      <c r="H90" s="168">
        <v>0</v>
      </c>
      <c r="I90" s="168">
        <v>0</v>
      </c>
      <c r="J90" s="168">
        <v>0</v>
      </c>
      <c r="K90" s="168">
        <v>6369221</v>
      </c>
      <c r="L90" s="168">
        <v>6369221</v>
      </c>
      <c r="M90" s="168">
        <v>904456</v>
      </c>
      <c r="N90" s="168">
        <v>904456</v>
      </c>
    </row>
    <row r="91" spans="1:14" x14ac:dyDescent="0.25">
      <c r="A91" s="167" t="s">
        <v>555</v>
      </c>
      <c r="B91" s="167" t="s">
        <v>266</v>
      </c>
      <c r="C91" s="167" t="s">
        <v>267</v>
      </c>
      <c r="D91" s="167" t="s">
        <v>554</v>
      </c>
      <c r="E91" s="168">
        <v>3146000</v>
      </c>
      <c r="F91" s="168">
        <v>3134982</v>
      </c>
      <c r="G91" s="168">
        <v>3134982</v>
      </c>
      <c r="H91" s="168">
        <v>0</v>
      </c>
      <c r="I91" s="168">
        <v>0</v>
      </c>
      <c r="J91" s="168">
        <v>0</v>
      </c>
      <c r="K91" s="168">
        <v>2745353</v>
      </c>
      <c r="L91" s="168">
        <v>2745353</v>
      </c>
      <c r="M91" s="168">
        <v>389629</v>
      </c>
      <c r="N91" s="168">
        <v>389629</v>
      </c>
    </row>
    <row r="92" spans="1:14" x14ac:dyDescent="0.25">
      <c r="A92" s="167" t="s">
        <v>555</v>
      </c>
      <c r="B92" s="167" t="s">
        <v>268</v>
      </c>
      <c r="C92" s="167" t="s">
        <v>269</v>
      </c>
      <c r="D92" s="167" t="s">
        <v>554</v>
      </c>
      <c r="E92" s="168">
        <v>16000000</v>
      </c>
      <c r="F92" s="168">
        <v>33906000</v>
      </c>
      <c r="G92" s="168">
        <v>33906000</v>
      </c>
      <c r="H92" s="168">
        <v>0</v>
      </c>
      <c r="I92" s="168">
        <v>20371.22</v>
      </c>
      <c r="J92" s="168">
        <v>0</v>
      </c>
      <c r="K92" s="168">
        <v>18126600.960000001</v>
      </c>
      <c r="L92" s="168">
        <v>18126600.960000001</v>
      </c>
      <c r="M92" s="168">
        <v>15759027.82</v>
      </c>
      <c r="N92" s="168">
        <v>15759027.82</v>
      </c>
    </row>
    <row r="93" spans="1:14" x14ac:dyDescent="0.25">
      <c r="A93" s="167" t="s">
        <v>555</v>
      </c>
      <c r="B93" s="167" t="s">
        <v>270</v>
      </c>
      <c r="C93" s="167" t="s">
        <v>271</v>
      </c>
      <c r="D93" s="167" t="s">
        <v>554</v>
      </c>
      <c r="E93" s="168">
        <v>10000000</v>
      </c>
      <c r="F93" s="168">
        <v>22906000</v>
      </c>
      <c r="G93" s="168">
        <v>22906000</v>
      </c>
      <c r="H93" s="168">
        <v>0</v>
      </c>
      <c r="I93" s="168">
        <v>20371.22</v>
      </c>
      <c r="J93" s="168">
        <v>0</v>
      </c>
      <c r="K93" s="168">
        <v>13343079.960000001</v>
      </c>
      <c r="L93" s="168">
        <v>13343079.960000001</v>
      </c>
      <c r="M93" s="168">
        <v>9542548.8200000003</v>
      </c>
      <c r="N93" s="168">
        <v>9542548.8200000003</v>
      </c>
    </row>
    <row r="94" spans="1:14" x14ac:dyDescent="0.25">
      <c r="A94" s="167" t="s">
        <v>555</v>
      </c>
      <c r="B94" s="167" t="s">
        <v>272</v>
      </c>
      <c r="C94" s="167" t="s">
        <v>273</v>
      </c>
      <c r="D94" s="167" t="s">
        <v>554</v>
      </c>
      <c r="E94" s="168">
        <v>6000000</v>
      </c>
      <c r="F94" s="168">
        <v>11000000</v>
      </c>
      <c r="G94" s="168">
        <v>11000000</v>
      </c>
      <c r="H94" s="168">
        <v>0</v>
      </c>
      <c r="I94" s="168">
        <v>0</v>
      </c>
      <c r="J94" s="168">
        <v>0</v>
      </c>
      <c r="K94" s="168">
        <v>4783521</v>
      </c>
      <c r="L94" s="168">
        <v>4783521</v>
      </c>
      <c r="M94" s="168">
        <v>6216479</v>
      </c>
      <c r="N94" s="168">
        <v>6216479</v>
      </c>
    </row>
    <row r="95" spans="1:14" x14ac:dyDescent="0.25">
      <c r="A95" s="167" t="s">
        <v>555</v>
      </c>
      <c r="B95" s="167" t="s">
        <v>274</v>
      </c>
      <c r="C95" s="167" t="s">
        <v>275</v>
      </c>
      <c r="D95" s="167" t="s">
        <v>554</v>
      </c>
      <c r="E95" s="168">
        <v>3000000</v>
      </c>
      <c r="F95" s="168">
        <v>0</v>
      </c>
      <c r="G95" s="168">
        <v>0</v>
      </c>
      <c r="H95" s="168">
        <v>0</v>
      </c>
      <c r="I95" s="168">
        <v>0</v>
      </c>
      <c r="J95" s="168">
        <v>0</v>
      </c>
      <c r="K95" s="168">
        <v>0</v>
      </c>
      <c r="L95" s="168">
        <v>0</v>
      </c>
      <c r="M95" s="168">
        <v>0</v>
      </c>
      <c r="N95" s="168">
        <v>0</v>
      </c>
    </row>
    <row r="96" spans="1:14" x14ac:dyDescent="0.25">
      <c r="A96" s="167" t="s">
        <v>555</v>
      </c>
      <c r="B96" s="167" t="s">
        <v>276</v>
      </c>
      <c r="C96" s="167" t="s">
        <v>277</v>
      </c>
      <c r="D96" s="167" t="s">
        <v>554</v>
      </c>
      <c r="E96" s="168">
        <v>1500000</v>
      </c>
      <c r="F96" s="168">
        <v>0</v>
      </c>
      <c r="G96" s="168">
        <v>0</v>
      </c>
      <c r="H96" s="168">
        <v>0</v>
      </c>
      <c r="I96" s="168">
        <v>0</v>
      </c>
      <c r="J96" s="168">
        <v>0</v>
      </c>
      <c r="K96" s="168">
        <v>0</v>
      </c>
      <c r="L96" s="168">
        <v>0</v>
      </c>
      <c r="M96" s="168">
        <v>0</v>
      </c>
      <c r="N96" s="168">
        <v>0</v>
      </c>
    </row>
    <row r="97" spans="1:14" x14ac:dyDescent="0.25">
      <c r="A97" s="167" t="s">
        <v>555</v>
      </c>
      <c r="B97" s="167" t="s">
        <v>278</v>
      </c>
      <c r="C97" s="167" t="s">
        <v>279</v>
      </c>
      <c r="D97" s="167" t="s">
        <v>554</v>
      </c>
      <c r="E97" s="168">
        <v>1500000</v>
      </c>
      <c r="F97" s="168">
        <v>0</v>
      </c>
      <c r="G97" s="168">
        <v>0</v>
      </c>
      <c r="H97" s="168">
        <v>0</v>
      </c>
      <c r="I97" s="168">
        <v>0</v>
      </c>
      <c r="J97" s="168">
        <v>0</v>
      </c>
      <c r="K97" s="168">
        <v>0</v>
      </c>
      <c r="L97" s="168">
        <v>0</v>
      </c>
      <c r="M97" s="168">
        <v>0</v>
      </c>
      <c r="N97" s="168">
        <v>0</v>
      </c>
    </row>
    <row r="98" spans="1:14" x14ac:dyDescent="0.25">
      <c r="A98" s="167" t="s">
        <v>555</v>
      </c>
      <c r="B98" s="167" t="s">
        <v>280</v>
      </c>
      <c r="C98" s="167" t="s">
        <v>281</v>
      </c>
      <c r="D98" s="167" t="s">
        <v>554</v>
      </c>
      <c r="E98" s="168">
        <v>392132000</v>
      </c>
      <c r="F98" s="168">
        <v>403232000</v>
      </c>
      <c r="G98" s="168">
        <v>403232000</v>
      </c>
      <c r="H98" s="168">
        <v>0</v>
      </c>
      <c r="I98" s="168">
        <v>0</v>
      </c>
      <c r="J98" s="168">
        <v>0</v>
      </c>
      <c r="K98" s="168">
        <v>402050748.29000002</v>
      </c>
      <c r="L98" s="168">
        <v>402050748.29000002</v>
      </c>
      <c r="M98" s="168">
        <v>1181251.71</v>
      </c>
      <c r="N98" s="168">
        <v>1181251.71</v>
      </c>
    </row>
    <row r="99" spans="1:14" x14ac:dyDescent="0.25">
      <c r="A99" s="167" t="s">
        <v>555</v>
      </c>
      <c r="B99" s="167" t="s">
        <v>282</v>
      </c>
      <c r="C99" s="167" t="s">
        <v>283</v>
      </c>
      <c r="D99" s="167" t="s">
        <v>554</v>
      </c>
      <c r="E99" s="168">
        <v>389032000</v>
      </c>
      <c r="F99" s="168">
        <v>389032000</v>
      </c>
      <c r="G99" s="168">
        <v>389032000</v>
      </c>
      <c r="H99" s="168">
        <v>0</v>
      </c>
      <c r="I99" s="168">
        <v>0</v>
      </c>
      <c r="J99" s="168">
        <v>0</v>
      </c>
      <c r="K99" s="168">
        <v>389032000</v>
      </c>
      <c r="L99" s="168">
        <v>389032000</v>
      </c>
      <c r="M99" s="168">
        <v>0</v>
      </c>
      <c r="N99" s="168">
        <v>0</v>
      </c>
    </row>
    <row r="100" spans="1:14" x14ac:dyDescent="0.25">
      <c r="A100" s="167" t="s">
        <v>555</v>
      </c>
      <c r="B100" s="167" t="s">
        <v>574</v>
      </c>
      <c r="C100" s="167" t="s">
        <v>591</v>
      </c>
      <c r="D100" s="167" t="s">
        <v>554</v>
      </c>
      <c r="E100" s="168">
        <v>0</v>
      </c>
      <c r="F100" s="168">
        <v>11000000</v>
      </c>
      <c r="G100" s="168">
        <v>11000000</v>
      </c>
      <c r="H100" s="168">
        <v>0</v>
      </c>
      <c r="I100" s="168">
        <v>0</v>
      </c>
      <c r="J100" s="168">
        <v>0</v>
      </c>
      <c r="K100" s="168">
        <v>9829834.5999999996</v>
      </c>
      <c r="L100" s="168">
        <v>9829834.5999999996</v>
      </c>
      <c r="M100" s="168">
        <v>1170165.3999999999</v>
      </c>
      <c r="N100" s="168">
        <v>1170165.3999999999</v>
      </c>
    </row>
    <row r="101" spans="1:14" x14ac:dyDescent="0.25">
      <c r="A101" s="167" t="s">
        <v>555</v>
      </c>
      <c r="B101" s="167" t="s">
        <v>284</v>
      </c>
      <c r="C101" s="167" t="s">
        <v>285</v>
      </c>
      <c r="D101" s="167" t="s">
        <v>554</v>
      </c>
      <c r="E101" s="168">
        <v>3100000</v>
      </c>
      <c r="F101" s="168">
        <v>3200000</v>
      </c>
      <c r="G101" s="168">
        <v>3200000</v>
      </c>
      <c r="H101" s="168">
        <v>0</v>
      </c>
      <c r="I101" s="168">
        <v>0</v>
      </c>
      <c r="J101" s="168">
        <v>0</v>
      </c>
      <c r="K101" s="168">
        <v>3188913.69</v>
      </c>
      <c r="L101" s="168">
        <v>3188913.69</v>
      </c>
      <c r="M101" s="168">
        <v>11086.31</v>
      </c>
      <c r="N101" s="168">
        <v>11086.31</v>
      </c>
    </row>
    <row r="102" spans="1:14" x14ac:dyDescent="0.25">
      <c r="A102" s="167" t="s">
        <v>555</v>
      </c>
      <c r="B102" s="167" t="s">
        <v>602</v>
      </c>
      <c r="C102" s="167" t="s">
        <v>603</v>
      </c>
      <c r="D102" s="167" t="s">
        <v>554</v>
      </c>
      <c r="E102" s="168">
        <v>0</v>
      </c>
      <c r="F102" s="168">
        <v>27471101</v>
      </c>
      <c r="G102" s="168">
        <v>22065321</v>
      </c>
      <c r="H102" s="168">
        <v>0</v>
      </c>
      <c r="I102" s="168">
        <v>0</v>
      </c>
      <c r="J102" s="168">
        <v>0</v>
      </c>
      <c r="K102" s="168">
        <v>0</v>
      </c>
      <c r="L102" s="168">
        <v>0</v>
      </c>
      <c r="M102" s="168">
        <v>27471101</v>
      </c>
      <c r="N102" s="168">
        <v>22065321</v>
      </c>
    </row>
    <row r="103" spans="1:14" x14ac:dyDescent="0.25">
      <c r="A103" s="167" t="s">
        <v>555</v>
      </c>
      <c r="B103" s="167" t="s">
        <v>600</v>
      </c>
      <c r="C103" s="167" t="s">
        <v>601</v>
      </c>
      <c r="D103" s="167" t="s">
        <v>554</v>
      </c>
      <c r="E103" s="168">
        <v>0</v>
      </c>
      <c r="F103" s="168">
        <v>27471101</v>
      </c>
      <c r="G103" s="168">
        <v>22065321</v>
      </c>
      <c r="H103" s="168">
        <v>0</v>
      </c>
      <c r="I103" s="168">
        <v>0</v>
      </c>
      <c r="J103" s="168">
        <v>0</v>
      </c>
      <c r="K103" s="168">
        <v>0</v>
      </c>
      <c r="L103" s="168">
        <v>0</v>
      </c>
      <c r="M103" s="168">
        <v>27471101</v>
      </c>
      <c r="N103" s="168">
        <v>22065321</v>
      </c>
    </row>
    <row r="104" spans="1:14" x14ac:dyDescent="0.25">
      <c r="A104" s="167" t="s">
        <v>555</v>
      </c>
      <c r="B104" s="167" t="s">
        <v>598</v>
      </c>
      <c r="C104" s="167" t="s">
        <v>599</v>
      </c>
      <c r="D104" s="167" t="s">
        <v>554</v>
      </c>
      <c r="E104" s="168">
        <v>0</v>
      </c>
      <c r="F104" s="168">
        <v>27077206</v>
      </c>
      <c r="G104" s="168">
        <v>21931426</v>
      </c>
      <c r="H104" s="168">
        <v>0</v>
      </c>
      <c r="I104" s="168">
        <v>0</v>
      </c>
      <c r="J104" s="168">
        <v>0</v>
      </c>
      <c r="K104" s="168">
        <v>0</v>
      </c>
      <c r="L104" s="168">
        <v>0</v>
      </c>
      <c r="M104" s="168">
        <v>27077206</v>
      </c>
      <c r="N104" s="168">
        <v>21931426</v>
      </c>
    </row>
    <row r="105" spans="1:14" x14ac:dyDescent="0.25">
      <c r="A105" s="167" t="s">
        <v>555</v>
      </c>
      <c r="B105" s="167" t="s">
        <v>598</v>
      </c>
      <c r="C105" s="167" t="s">
        <v>599</v>
      </c>
      <c r="D105" s="167" t="s">
        <v>556</v>
      </c>
      <c r="E105" s="168">
        <v>0</v>
      </c>
      <c r="F105" s="168">
        <v>393895</v>
      </c>
      <c r="G105" s="168">
        <v>133895</v>
      </c>
      <c r="H105" s="168">
        <v>0</v>
      </c>
      <c r="I105" s="168">
        <v>0</v>
      </c>
      <c r="J105" s="168">
        <v>0</v>
      </c>
      <c r="K105" s="168">
        <v>0</v>
      </c>
      <c r="L105" s="168">
        <v>0</v>
      </c>
      <c r="M105" s="168">
        <v>393895</v>
      </c>
      <c r="N105" s="168">
        <v>133895</v>
      </c>
    </row>
    <row r="106" spans="1:14" x14ac:dyDescent="0.25">
      <c r="A106" s="169" t="s">
        <v>555</v>
      </c>
      <c r="B106" s="169"/>
      <c r="C106" s="169"/>
      <c r="D106" s="169"/>
      <c r="E106" s="170"/>
      <c r="F106" s="170">
        <v>11553316300</v>
      </c>
      <c r="G106" s="170">
        <v>11531693180</v>
      </c>
      <c r="H106" s="170">
        <v>3483200</v>
      </c>
      <c r="I106" s="170">
        <v>124408282.28</v>
      </c>
      <c r="J106" s="170">
        <v>0</v>
      </c>
      <c r="K106" s="170">
        <v>10303748370.4</v>
      </c>
      <c r="L106" s="170">
        <v>10184146915.76</v>
      </c>
      <c r="M106" s="170">
        <v>1121676447.3199999</v>
      </c>
      <c r="N106" s="170">
        <v>1100053327.3199999</v>
      </c>
    </row>
    <row r="107" spans="1:14" x14ac:dyDescent="0.25">
      <c r="A107" s="167">
        <v>214780</v>
      </c>
      <c r="B107" s="167"/>
      <c r="C107" s="167"/>
      <c r="D107" s="167" t="s">
        <v>554</v>
      </c>
      <c r="E107" s="168">
        <v>1017343791</v>
      </c>
      <c r="F107" s="168">
        <v>1180395176</v>
      </c>
      <c r="G107" s="168">
        <v>1178580176</v>
      </c>
      <c r="H107" s="168">
        <v>1020000</v>
      </c>
      <c r="I107" s="168">
        <v>11246850.5</v>
      </c>
      <c r="J107" s="168">
        <v>0</v>
      </c>
      <c r="K107" s="168">
        <v>1011673186.97</v>
      </c>
      <c r="L107" s="168">
        <v>985082003.30999994</v>
      </c>
      <c r="M107" s="168">
        <v>156455138.53</v>
      </c>
      <c r="N107" s="168">
        <v>154640138.53</v>
      </c>
    </row>
    <row r="108" spans="1:14" x14ac:dyDescent="0.25">
      <c r="A108" s="167" t="s">
        <v>557</v>
      </c>
      <c r="B108" s="167" t="s">
        <v>92</v>
      </c>
      <c r="C108" s="167" t="s">
        <v>93</v>
      </c>
      <c r="D108" s="167" t="s">
        <v>554</v>
      </c>
      <c r="E108" s="168">
        <v>780017000</v>
      </c>
      <c r="F108" s="168">
        <v>939505681.33000004</v>
      </c>
      <c r="G108" s="168">
        <v>939505681.33000004</v>
      </c>
      <c r="H108" s="168">
        <v>0</v>
      </c>
      <c r="I108" s="168">
        <v>0</v>
      </c>
      <c r="J108" s="168">
        <v>0</v>
      </c>
      <c r="K108" s="168">
        <v>856086878.85000002</v>
      </c>
      <c r="L108" s="168">
        <v>856086878.85000002</v>
      </c>
      <c r="M108" s="168">
        <v>83418802.480000004</v>
      </c>
      <c r="N108" s="168">
        <v>83418802.480000004</v>
      </c>
    </row>
    <row r="109" spans="1:14" x14ac:dyDescent="0.25">
      <c r="A109" s="167" t="s">
        <v>557</v>
      </c>
      <c r="B109" s="167" t="s">
        <v>94</v>
      </c>
      <c r="C109" s="167" t="s">
        <v>95</v>
      </c>
      <c r="D109" s="167" t="s">
        <v>554</v>
      </c>
      <c r="E109" s="168">
        <v>309850000</v>
      </c>
      <c r="F109" s="168">
        <v>371862280</v>
      </c>
      <c r="G109" s="168">
        <v>371862280</v>
      </c>
      <c r="H109" s="168">
        <v>0</v>
      </c>
      <c r="I109" s="168">
        <v>0</v>
      </c>
      <c r="J109" s="168">
        <v>0</v>
      </c>
      <c r="K109" s="168">
        <v>346335376.19</v>
      </c>
      <c r="L109" s="168">
        <v>346335376.19</v>
      </c>
      <c r="M109" s="168">
        <v>25526903.809999999</v>
      </c>
      <c r="N109" s="168">
        <v>25526903.809999999</v>
      </c>
    </row>
    <row r="110" spans="1:14" x14ac:dyDescent="0.25">
      <c r="A110" s="167" t="s">
        <v>557</v>
      </c>
      <c r="B110" s="167" t="s">
        <v>96</v>
      </c>
      <c r="C110" s="167" t="s">
        <v>97</v>
      </c>
      <c r="D110" s="167" t="s">
        <v>554</v>
      </c>
      <c r="E110" s="168">
        <v>309850000</v>
      </c>
      <c r="F110" s="168">
        <v>371862280</v>
      </c>
      <c r="G110" s="168">
        <v>371862280</v>
      </c>
      <c r="H110" s="168">
        <v>0</v>
      </c>
      <c r="I110" s="168">
        <v>0</v>
      </c>
      <c r="J110" s="168">
        <v>0</v>
      </c>
      <c r="K110" s="168">
        <v>346335376.19</v>
      </c>
      <c r="L110" s="168">
        <v>346335376.19</v>
      </c>
      <c r="M110" s="168">
        <v>25526903.809999999</v>
      </c>
      <c r="N110" s="168">
        <v>25526903.809999999</v>
      </c>
    </row>
    <row r="111" spans="1:14" x14ac:dyDescent="0.25">
      <c r="A111" s="167" t="s">
        <v>557</v>
      </c>
      <c r="B111" s="167" t="s">
        <v>102</v>
      </c>
      <c r="C111" s="167" t="s">
        <v>103</v>
      </c>
      <c r="D111" s="167" t="s">
        <v>554</v>
      </c>
      <c r="E111" s="168">
        <v>351969000</v>
      </c>
      <c r="F111" s="168">
        <v>425542701.74000001</v>
      </c>
      <c r="G111" s="168">
        <v>425542701.74000001</v>
      </c>
      <c r="H111" s="168">
        <v>0</v>
      </c>
      <c r="I111" s="168">
        <v>0</v>
      </c>
      <c r="J111" s="168">
        <v>0</v>
      </c>
      <c r="K111" s="168">
        <v>398290596.66000003</v>
      </c>
      <c r="L111" s="168">
        <v>398290596.66000003</v>
      </c>
      <c r="M111" s="168">
        <v>27252105.079999998</v>
      </c>
      <c r="N111" s="168">
        <v>27252105.079999998</v>
      </c>
    </row>
    <row r="112" spans="1:14" x14ac:dyDescent="0.25">
      <c r="A112" s="167" t="s">
        <v>557</v>
      </c>
      <c r="B112" s="167" t="s">
        <v>104</v>
      </c>
      <c r="C112" s="167" t="s">
        <v>105</v>
      </c>
      <c r="D112" s="167" t="s">
        <v>554</v>
      </c>
      <c r="E112" s="168">
        <v>58359000</v>
      </c>
      <c r="F112" s="168">
        <v>98144729</v>
      </c>
      <c r="G112" s="168">
        <v>98144729</v>
      </c>
      <c r="H112" s="168">
        <v>0</v>
      </c>
      <c r="I112" s="168">
        <v>0</v>
      </c>
      <c r="J112" s="168">
        <v>0</v>
      </c>
      <c r="K112" s="168">
        <v>93895454.840000004</v>
      </c>
      <c r="L112" s="168">
        <v>93895454.840000004</v>
      </c>
      <c r="M112" s="168">
        <v>4249274.16</v>
      </c>
      <c r="N112" s="168">
        <v>4249274.16</v>
      </c>
    </row>
    <row r="113" spans="1:14" x14ac:dyDescent="0.25">
      <c r="A113" s="167" t="s">
        <v>557</v>
      </c>
      <c r="B113" s="167" t="s">
        <v>106</v>
      </c>
      <c r="C113" s="167" t="s">
        <v>107</v>
      </c>
      <c r="D113" s="167" t="s">
        <v>554</v>
      </c>
      <c r="E113" s="168">
        <v>169043000</v>
      </c>
      <c r="F113" s="168">
        <v>182941197.5</v>
      </c>
      <c r="G113" s="168">
        <v>182941197.5</v>
      </c>
      <c r="H113" s="168">
        <v>0</v>
      </c>
      <c r="I113" s="168">
        <v>0</v>
      </c>
      <c r="J113" s="168">
        <v>0</v>
      </c>
      <c r="K113" s="168">
        <v>170364528.27000001</v>
      </c>
      <c r="L113" s="168">
        <v>170364528.27000001</v>
      </c>
      <c r="M113" s="168">
        <v>12576669.23</v>
      </c>
      <c r="N113" s="168">
        <v>12576669.23</v>
      </c>
    </row>
    <row r="114" spans="1:14" x14ac:dyDescent="0.25">
      <c r="A114" s="167" t="s">
        <v>557</v>
      </c>
      <c r="B114" s="167" t="s">
        <v>112</v>
      </c>
      <c r="C114" s="167" t="s">
        <v>113</v>
      </c>
      <c r="D114" s="167" t="s">
        <v>554</v>
      </c>
      <c r="E114" s="168">
        <v>0</v>
      </c>
      <c r="F114" s="168">
        <v>10609845.51</v>
      </c>
      <c r="G114" s="168">
        <v>10609845.51</v>
      </c>
      <c r="H114" s="168">
        <v>0</v>
      </c>
      <c r="I114" s="168">
        <v>0</v>
      </c>
      <c r="J114" s="168">
        <v>0</v>
      </c>
      <c r="K114" s="168">
        <v>10609845.51</v>
      </c>
      <c r="L114" s="168">
        <v>10609845.51</v>
      </c>
      <c r="M114" s="168">
        <v>0</v>
      </c>
      <c r="N114" s="168">
        <v>0</v>
      </c>
    </row>
    <row r="115" spans="1:14" x14ac:dyDescent="0.25">
      <c r="A115" s="167" t="s">
        <v>557</v>
      </c>
      <c r="B115" s="167" t="s">
        <v>112</v>
      </c>
      <c r="C115" s="167" t="s">
        <v>113</v>
      </c>
      <c r="D115" s="167" t="s">
        <v>556</v>
      </c>
      <c r="E115" s="168">
        <v>50356000</v>
      </c>
      <c r="F115" s="168">
        <v>50167254</v>
      </c>
      <c r="G115" s="168">
        <v>50167254</v>
      </c>
      <c r="H115" s="168">
        <v>0</v>
      </c>
      <c r="I115" s="168">
        <v>0</v>
      </c>
      <c r="J115" s="168">
        <v>0</v>
      </c>
      <c r="K115" s="168">
        <v>47498741.100000001</v>
      </c>
      <c r="L115" s="168">
        <v>47498741.100000001</v>
      </c>
      <c r="M115" s="168">
        <v>2668512.9</v>
      </c>
      <c r="N115" s="168">
        <v>2668512.9</v>
      </c>
    </row>
    <row r="116" spans="1:14" x14ac:dyDescent="0.25">
      <c r="A116" s="167" t="s">
        <v>557</v>
      </c>
      <c r="B116" s="167" t="s">
        <v>108</v>
      </c>
      <c r="C116" s="167" t="s">
        <v>109</v>
      </c>
      <c r="D116" s="167" t="s">
        <v>554</v>
      </c>
      <c r="E116" s="168">
        <v>44289000</v>
      </c>
      <c r="F116" s="168">
        <v>53871006.729999997</v>
      </c>
      <c r="G116" s="168">
        <v>53871006.729999997</v>
      </c>
      <c r="H116" s="168">
        <v>0</v>
      </c>
      <c r="I116" s="168">
        <v>0</v>
      </c>
      <c r="J116" s="168">
        <v>0</v>
      </c>
      <c r="K116" s="168">
        <v>48595584.109999999</v>
      </c>
      <c r="L116" s="168">
        <v>48595584.109999999</v>
      </c>
      <c r="M116" s="168">
        <v>5275422.62</v>
      </c>
      <c r="N116" s="168">
        <v>5275422.62</v>
      </c>
    </row>
    <row r="117" spans="1:14" x14ac:dyDescent="0.25">
      <c r="A117" s="167" t="s">
        <v>557</v>
      </c>
      <c r="B117" s="167" t="s">
        <v>110</v>
      </c>
      <c r="C117" s="167" t="s">
        <v>111</v>
      </c>
      <c r="D117" s="167" t="s">
        <v>554</v>
      </c>
      <c r="E117" s="168">
        <v>29922000</v>
      </c>
      <c r="F117" s="168">
        <v>29808669</v>
      </c>
      <c r="G117" s="168">
        <v>29808669</v>
      </c>
      <c r="H117" s="168">
        <v>0</v>
      </c>
      <c r="I117" s="168">
        <v>0</v>
      </c>
      <c r="J117" s="168">
        <v>0</v>
      </c>
      <c r="K117" s="168">
        <v>27326442.829999998</v>
      </c>
      <c r="L117" s="168">
        <v>27326442.829999998</v>
      </c>
      <c r="M117" s="168">
        <v>2482226.17</v>
      </c>
      <c r="N117" s="168">
        <v>2482226.17</v>
      </c>
    </row>
    <row r="118" spans="1:14" x14ac:dyDescent="0.25">
      <c r="A118" s="167" t="s">
        <v>557</v>
      </c>
      <c r="B118" s="167" t="s">
        <v>114</v>
      </c>
      <c r="C118" s="167" t="s">
        <v>115</v>
      </c>
      <c r="D118" s="167" t="s">
        <v>554</v>
      </c>
      <c r="E118" s="168">
        <v>59619000</v>
      </c>
      <c r="F118" s="168">
        <v>71810906.049999997</v>
      </c>
      <c r="G118" s="168">
        <v>71810906.049999997</v>
      </c>
      <c r="H118" s="168">
        <v>0</v>
      </c>
      <c r="I118" s="168">
        <v>0</v>
      </c>
      <c r="J118" s="168">
        <v>0</v>
      </c>
      <c r="K118" s="168">
        <v>56221625</v>
      </c>
      <c r="L118" s="168">
        <v>56221625</v>
      </c>
      <c r="M118" s="168">
        <v>15589281.050000001</v>
      </c>
      <c r="N118" s="168">
        <v>15589281.050000001</v>
      </c>
    </row>
    <row r="119" spans="1:14" x14ac:dyDescent="0.25">
      <c r="A119" s="167" t="s">
        <v>557</v>
      </c>
      <c r="B119" s="167" t="s">
        <v>308</v>
      </c>
      <c r="C119" s="167" t="s">
        <v>579</v>
      </c>
      <c r="D119" s="167" t="s">
        <v>554</v>
      </c>
      <c r="E119" s="168">
        <v>56561000</v>
      </c>
      <c r="F119" s="168">
        <v>68127141.430000007</v>
      </c>
      <c r="G119" s="168">
        <v>68127141.430000007</v>
      </c>
      <c r="H119" s="168">
        <v>0</v>
      </c>
      <c r="I119" s="168">
        <v>0</v>
      </c>
      <c r="J119" s="168">
        <v>0</v>
      </c>
      <c r="K119" s="168">
        <v>53338704</v>
      </c>
      <c r="L119" s="168">
        <v>53338704</v>
      </c>
      <c r="M119" s="168">
        <v>14788437.43</v>
      </c>
      <c r="N119" s="168">
        <v>14788437.43</v>
      </c>
    </row>
    <row r="120" spans="1:14" x14ac:dyDescent="0.25">
      <c r="A120" s="167" t="s">
        <v>557</v>
      </c>
      <c r="B120" s="167" t="s">
        <v>309</v>
      </c>
      <c r="C120" s="167" t="s">
        <v>580</v>
      </c>
      <c r="D120" s="167" t="s">
        <v>554</v>
      </c>
      <c r="E120" s="168">
        <v>3058000</v>
      </c>
      <c r="F120" s="168">
        <v>3683764.62</v>
      </c>
      <c r="G120" s="168">
        <v>3683764.62</v>
      </c>
      <c r="H120" s="168">
        <v>0</v>
      </c>
      <c r="I120" s="168">
        <v>0</v>
      </c>
      <c r="J120" s="168">
        <v>0</v>
      </c>
      <c r="K120" s="168">
        <v>2882921</v>
      </c>
      <c r="L120" s="168">
        <v>2882921</v>
      </c>
      <c r="M120" s="168">
        <v>800843.62</v>
      </c>
      <c r="N120" s="168">
        <v>800843.62</v>
      </c>
    </row>
    <row r="121" spans="1:14" x14ac:dyDescent="0.25">
      <c r="A121" s="167" t="s">
        <v>557</v>
      </c>
      <c r="B121" s="167" t="s">
        <v>118</v>
      </c>
      <c r="C121" s="167" t="s">
        <v>119</v>
      </c>
      <c r="D121" s="167" t="s">
        <v>554</v>
      </c>
      <c r="E121" s="168">
        <v>58579000</v>
      </c>
      <c r="F121" s="168">
        <v>70289793.540000007</v>
      </c>
      <c r="G121" s="168">
        <v>70289793.540000007</v>
      </c>
      <c r="H121" s="168">
        <v>0</v>
      </c>
      <c r="I121" s="168">
        <v>0</v>
      </c>
      <c r="J121" s="168">
        <v>0</v>
      </c>
      <c r="K121" s="168">
        <v>55239281</v>
      </c>
      <c r="L121" s="168">
        <v>55239281</v>
      </c>
      <c r="M121" s="168">
        <v>15050512.539999999</v>
      </c>
      <c r="N121" s="168">
        <v>15050512.539999999</v>
      </c>
    </row>
    <row r="122" spans="1:14" x14ac:dyDescent="0.25">
      <c r="A122" s="167" t="s">
        <v>557</v>
      </c>
      <c r="B122" s="167" t="s">
        <v>310</v>
      </c>
      <c r="C122" s="167" t="s">
        <v>121</v>
      </c>
      <c r="D122" s="167" t="s">
        <v>554</v>
      </c>
      <c r="E122" s="168">
        <v>31063000</v>
      </c>
      <c r="F122" s="168">
        <v>37145914.170000002</v>
      </c>
      <c r="G122" s="168">
        <v>37145914.170000002</v>
      </c>
      <c r="H122" s="168">
        <v>0</v>
      </c>
      <c r="I122" s="168">
        <v>0</v>
      </c>
      <c r="J122" s="168">
        <v>0</v>
      </c>
      <c r="K122" s="168">
        <v>29293036</v>
      </c>
      <c r="L122" s="168">
        <v>29293036</v>
      </c>
      <c r="M122" s="168">
        <v>7852878.1699999999</v>
      </c>
      <c r="N122" s="168">
        <v>7852878.1699999999</v>
      </c>
    </row>
    <row r="123" spans="1:14" x14ac:dyDescent="0.25">
      <c r="A123" s="167" t="s">
        <v>557</v>
      </c>
      <c r="B123" s="167" t="s">
        <v>311</v>
      </c>
      <c r="C123" s="167" t="s">
        <v>123</v>
      </c>
      <c r="D123" s="167" t="s">
        <v>554</v>
      </c>
      <c r="E123" s="168">
        <v>9172000</v>
      </c>
      <c r="F123" s="168">
        <v>11048293.199999999</v>
      </c>
      <c r="G123" s="168">
        <v>11048293.199999999</v>
      </c>
      <c r="H123" s="168">
        <v>0</v>
      </c>
      <c r="I123" s="168">
        <v>0</v>
      </c>
      <c r="J123" s="168">
        <v>0</v>
      </c>
      <c r="K123" s="168">
        <v>8648754</v>
      </c>
      <c r="L123" s="168">
        <v>8648754</v>
      </c>
      <c r="M123" s="168">
        <v>2399539.2000000002</v>
      </c>
      <c r="N123" s="168">
        <v>2399539.2000000002</v>
      </c>
    </row>
    <row r="124" spans="1:14" x14ac:dyDescent="0.25">
      <c r="A124" s="167" t="s">
        <v>557</v>
      </c>
      <c r="B124" s="167" t="s">
        <v>312</v>
      </c>
      <c r="C124" s="167" t="s">
        <v>125</v>
      </c>
      <c r="D124" s="167" t="s">
        <v>554</v>
      </c>
      <c r="E124" s="168">
        <v>18344000</v>
      </c>
      <c r="F124" s="168">
        <v>22095586.170000002</v>
      </c>
      <c r="G124" s="168">
        <v>22095586.170000002</v>
      </c>
      <c r="H124" s="168">
        <v>0</v>
      </c>
      <c r="I124" s="168">
        <v>0</v>
      </c>
      <c r="J124" s="168">
        <v>0</v>
      </c>
      <c r="K124" s="168">
        <v>17297491</v>
      </c>
      <c r="L124" s="168">
        <v>17297491</v>
      </c>
      <c r="M124" s="168">
        <v>4798095.17</v>
      </c>
      <c r="N124" s="168">
        <v>4798095.17</v>
      </c>
    </row>
    <row r="125" spans="1:14" x14ac:dyDescent="0.25">
      <c r="A125" s="167" t="s">
        <v>557</v>
      </c>
      <c r="B125" s="167" t="s">
        <v>126</v>
      </c>
      <c r="C125" s="167" t="s">
        <v>127</v>
      </c>
      <c r="D125" s="167" t="s">
        <v>554</v>
      </c>
      <c r="E125" s="168">
        <v>158109455</v>
      </c>
      <c r="F125" s="168">
        <v>167504455</v>
      </c>
      <c r="G125" s="168">
        <v>167504455</v>
      </c>
      <c r="H125" s="168">
        <v>0</v>
      </c>
      <c r="I125" s="168">
        <v>8592688.6199999992</v>
      </c>
      <c r="J125" s="168">
        <v>0</v>
      </c>
      <c r="K125" s="168">
        <v>124853218.09999999</v>
      </c>
      <c r="L125" s="168">
        <v>109509782.02</v>
      </c>
      <c r="M125" s="168">
        <v>34058548.280000001</v>
      </c>
      <c r="N125" s="168">
        <v>34058548.280000001</v>
      </c>
    </row>
    <row r="126" spans="1:14" x14ac:dyDescent="0.25">
      <c r="A126" s="167" t="s">
        <v>557</v>
      </c>
      <c r="B126" s="167" t="s">
        <v>128</v>
      </c>
      <c r="C126" s="167" t="s">
        <v>129</v>
      </c>
      <c r="D126" s="167" t="s">
        <v>554</v>
      </c>
      <c r="E126" s="168">
        <v>95094000</v>
      </c>
      <c r="F126" s="168">
        <v>90794000</v>
      </c>
      <c r="G126" s="168">
        <v>90794000</v>
      </c>
      <c r="H126" s="168">
        <v>0</v>
      </c>
      <c r="I126" s="168">
        <v>492070.62</v>
      </c>
      <c r="J126" s="168">
        <v>0</v>
      </c>
      <c r="K126" s="168">
        <v>77811550.099999994</v>
      </c>
      <c r="L126" s="168">
        <v>69907448.019999996</v>
      </c>
      <c r="M126" s="168">
        <v>12490379.279999999</v>
      </c>
      <c r="N126" s="168">
        <v>12490379.279999999</v>
      </c>
    </row>
    <row r="127" spans="1:14" x14ac:dyDescent="0.25">
      <c r="A127" s="167" t="s">
        <v>557</v>
      </c>
      <c r="B127" s="167" t="s">
        <v>313</v>
      </c>
      <c r="C127" s="167" t="s">
        <v>314</v>
      </c>
      <c r="D127" s="167" t="s">
        <v>554</v>
      </c>
      <c r="E127" s="168">
        <v>75544000</v>
      </c>
      <c r="F127" s="168">
        <v>72644000</v>
      </c>
      <c r="G127" s="168">
        <v>72644000</v>
      </c>
      <c r="H127" s="168">
        <v>0</v>
      </c>
      <c r="I127" s="168">
        <v>0</v>
      </c>
      <c r="J127" s="168">
        <v>0</v>
      </c>
      <c r="K127" s="168">
        <v>64470081.18</v>
      </c>
      <c r="L127" s="168">
        <v>59117743.549999997</v>
      </c>
      <c r="M127" s="168">
        <v>8173918.8200000003</v>
      </c>
      <c r="N127" s="168">
        <v>8173918.8200000003</v>
      </c>
    </row>
    <row r="128" spans="1:14" x14ac:dyDescent="0.25">
      <c r="A128" s="167" t="s">
        <v>557</v>
      </c>
      <c r="B128" s="167" t="s">
        <v>130</v>
      </c>
      <c r="C128" s="167" t="s">
        <v>131</v>
      </c>
      <c r="D128" s="167" t="s">
        <v>554</v>
      </c>
      <c r="E128" s="168">
        <v>19550000</v>
      </c>
      <c r="F128" s="168">
        <v>18150000</v>
      </c>
      <c r="G128" s="168">
        <v>18150000</v>
      </c>
      <c r="H128" s="168">
        <v>0</v>
      </c>
      <c r="I128" s="168">
        <v>492070.62</v>
      </c>
      <c r="J128" s="168">
        <v>0</v>
      </c>
      <c r="K128" s="168">
        <v>13341468.92</v>
      </c>
      <c r="L128" s="168">
        <v>10789704.470000001</v>
      </c>
      <c r="M128" s="168">
        <v>4316460.46</v>
      </c>
      <c r="N128" s="168">
        <v>4316460.46</v>
      </c>
    </row>
    <row r="129" spans="1:14" x14ac:dyDescent="0.25">
      <c r="A129" s="167" t="s">
        <v>557</v>
      </c>
      <c r="B129" s="167" t="s">
        <v>134</v>
      </c>
      <c r="C129" s="167" t="s">
        <v>135</v>
      </c>
      <c r="D129" s="167" t="s">
        <v>554</v>
      </c>
      <c r="E129" s="168">
        <v>18946000</v>
      </c>
      <c r="F129" s="168">
        <v>22896000</v>
      </c>
      <c r="G129" s="168">
        <v>22896000</v>
      </c>
      <c r="H129" s="168">
        <v>0</v>
      </c>
      <c r="I129" s="168">
        <v>2682396</v>
      </c>
      <c r="J129" s="168">
        <v>0</v>
      </c>
      <c r="K129" s="168">
        <v>11864754</v>
      </c>
      <c r="L129" s="168">
        <v>11864754</v>
      </c>
      <c r="M129" s="168">
        <v>8348850</v>
      </c>
      <c r="N129" s="168">
        <v>8348850</v>
      </c>
    </row>
    <row r="130" spans="1:14" x14ac:dyDescent="0.25">
      <c r="A130" s="167" t="s">
        <v>557</v>
      </c>
      <c r="B130" s="167" t="s">
        <v>136</v>
      </c>
      <c r="C130" s="167" t="s">
        <v>137</v>
      </c>
      <c r="D130" s="167" t="s">
        <v>554</v>
      </c>
      <c r="E130" s="168">
        <v>2555000</v>
      </c>
      <c r="F130" s="168">
        <v>2305000</v>
      </c>
      <c r="G130" s="168">
        <v>2305000</v>
      </c>
      <c r="H130" s="168">
        <v>0</v>
      </c>
      <c r="I130" s="168">
        <v>200000</v>
      </c>
      <c r="J130" s="168">
        <v>0</v>
      </c>
      <c r="K130" s="168">
        <v>888197</v>
      </c>
      <c r="L130" s="168">
        <v>888197</v>
      </c>
      <c r="M130" s="168">
        <v>1216803</v>
      </c>
      <c r="N130" s="168">
        <v>1216803</v>
      </c>
    </row>
    <row r="131" spans="1:14" x14ac:dyDescent="0.25">
      <c r="A131" s="167" t="s">
        <v>557</v>
      </c>
      <c r="B131" s="167" t="s">
        <v>138</v>
      </c>
      <c r="C131" s="167" t="s">
        <v>139</v>
      </c>
      <c r="D131" s="167" t="s">
        <v>554</v>
      </c>
      <c r="E131" s="168">
        <v>5550000</v>
      </c>
      <c r="F131" s="168">
        <v>6050000</v>
      </c>
      <c r="G131" s="168">
        <v>6050000</v>
      </c>
      <c r="H131" s="168">
        <v>0</v>
      </c>
      <c r="I131" s="168">
        <v>482396</v>
      </c>
      <c r="J131" s="168">
        <v>0</v>
      </c>
      <c r="K131" s="168">
        <v>2976474</v>
      </c>
      <c r="L131" s="168">
        <v>2976474</v>
      </c>
      <c r="M131" s="168">
        <v>2591130</v>
      </c>
      <c r="N131" s="168">
        <v>2591130</v>
      </c>
    </row>
    <row r="132" spans="1:14" x14ac:dyDescent="0.25">
      <c r="A132" s="167" t="s">
        <v>557</v>
      </c>
      <c r="B132" s="167" t="s">
        <v>140</v>
      </c>
      <c r="C132" s="167" t="s">
        <v>141</v>
      </c>
      <c r="D132" s="167" t="s">
        <v>554</v>
      </c>
      <c r="E132" s="168">
        <v>600000</v>
      </c>
      <c r="F132" s="168">
        <v>600000</v>
      </c>
      <c r="G132" s="168">
        <v>600000</v>
      </c>
      <c r="H132" s="168">
        <v>0</v>
      </c>
      <c r="I132" s="168">
        <v>0</v>
      </c>
      <c r="J132" s="168">
        <v>0</v>
      </c>
      <c r="K132" s="168">
        <v>0</v>
      </c>
      <c r="L132" s="168">
        <v>0</v>
      </c>
      <c r="M132" s="168">
        <v>600000</v>
      </c>
      <c r="N132" s="168">
        <v>600000</v>
      </c>
    </row>
    <row r="133" spans="1:14" x14ac:dyDescent="0.25">
      <c r="A133" s="167" t="s">
        <v>557</v>
      </c>
      <c r="B133" s="167" t="s">
        <v>142</v>
      </c>
      <c r="C133" s="167" t="s">
        <v>143</v>
      </c>
      <c r="D133" s="167" t="s">
        <v>554</v>
      </c>
      <c r="E133" s="168">
        <v>10241000</v>
      </c>
      <c r="F133" s="168">
        <v>13941000</v>
      </c>
      <c r="G133" s="168">
        <v>13941000</v>
      </c>
      <c r="H133" s="168">
        <v>0</v>
      </c>
      <c r="I133" s="168">
        <v>2000000</v>
      </c>
      <c r="J133" s="168">
        <v>0</v>
      </c>
      <c r="K133" s="168">
        <v>8000083</v>
      </c>
      <c r="L133" s="168">
        <v>8000083</v>
      </c>
      <c r="M133" s="168">
        <v>3940917</v>
      </c>
      <c r="N133" s="168">
        <v>3940917</v>
      </c>
    </row>
    <row r="134" spans="1:14" x14ac:dyDescent="0.25">
      <c r="A134" s="167" t="s">
        <v>557</v>
      </c>
      <c r="B134" s="167" t="s">
        <v>146</v>
      </c>
      <c r="C134" s="167" t="s">
        <v>147</v>
      </c>
      <c r="D134" s="167" t="s">
        <v>554</v>
      </c>
      <c r="E134" s="168">
        <v>5180175</v>
      </c>
      <c r="F134" s="168">
        <v>6480175</v>
      </c>
      <c r="G134" s="168">
        <v>6480175</v>
      </c>
      <c r="H134" s="168">
        <v>0</v>
      </c>
      <c r="I134" s="168">
        <v>3005710</v>
      </c>
      <c r="J134" s="168">
        <v>0</v>
      </c>
      <c r="K134" s="168">
        <v>2547520</v>
      </c>
      <c r="L134" s="168">
        <v>1498520</v>
      </c>
      <c r="M134" s="168">
        <v>926945</v>
      </c>
      <c r="N134" s="168">
        <v>926945</v>
      </c>
    </row>
    <row r="135" spans="1:14" x14ac:dyDescent="0.25">
      <c r="A135" s="167" t="s">
        <v>557</v>
      </c>
      <c r="B135" s="167" t="s">
        <v>148</v>
      </c>
      <c r="C135" s="167" t="s">
        <v>149</v>
      </c>
      <c r="D135" s="167" t="s">
        <v>554</v>
      </c>
      <c r="E135" s="168">
        <v>600300</v>
      </c>
      <c r="F135" s="168">
        <v>600300</v>
      </c>
      <c r="G135" s="168">
        <v>600300</v>
      </c>
      <c r="H135" s="168">
        <v>0</v>
      </c>
      <c r="I135" s="168">
        <v>0</v>
      </c>
      <c r="J135" s="168">
        <v>0</v>
      </c>
      <c r="K135" s="168">
        <v>267520</v>
      </c>
      <c r="L135" s="168">
        <v>267520</v>
      </c>
      <c r="M135" s="168">
        <v>332780</v>
      </c>
      <c r="N135" s="168">
        <v>332780</v>
      </c>
    </row>
    <row r="136" spans="1:14" x14ac:dyDescent="0.25">
      <c r="A136" s="167" t="s">
        <v>557</v>
      </c>
      <c r="B136" s="167" t="s">
        <v>315</v>
      </c>
      <c r="C136" s="167" t="s">
        <v>316</v>
      </c>
      <c r="D136" s="167" t="s">
        <v>554</v>
      </c>
      <c r="E136" s="168">
        <v>232875</v>
      </c>
      <c r="F136" s="168">
        <v>532875</v>
      </c>
      <c r="G136" s="168">
        <v>532875</v>
      </c>
      <c r="H136" s="168">
        <v>0</v>
      </c>
      <c r="I136" s="168">
        <v>0</v>
      </c>
      <c r="J136" s="168">
        <v>0</v>
      </c>
      <c r="K136" s="168">
        <v>374000</v>
      </c>
      <c r="L136" s="168">
        <v>374000</v>
      </c>
      <c r="M136" s="168">
        <v>158875</v>
      </c>
      <c r="N136" s="168">
        <v>158875</v>
      </c>
    </row>
    <row r="137" spans="1:14" x14ac:dyDescent="0.25">
      <c r="A137" s="167" t="s">
        <v>557</v>
      </c>
      <c r="B137" s="167" t="s">
        <v>150</v>
      </c>
      <c r="C137" s="167" t="s">
        <v>151</v>
      </c>
      <c r="D137" s="167" t="s">
        <v>554</v>
      </c>
      <c r="E137" s="168">
        <v>4347000</v>
      </c>
      <c r="F137" s="168">
        <v>5347000</v>
      </c>
      <c r="G137" s="168">
        <v>5347000</v>
      </c>
      <c r="H137" s="168">
        <v>0</v>
      </c>
      <c r="I137" s="168">
        <v>3005710</v>
      </c>
      <c r="J137" s="168">
        <v>0</v>
      </c>
      <c r="K137" s="168">
        <v>1906000</v>
      </c>
      <c r="L137" s="168">
        <v>857000</v>
      </c>
      <c r="M137" s="168">
        <v>435290</v>
      </c>
      <c r="N137" s="168">
        <v>435290</v>
      </c>
    </row>
    <row r="138" spans="1:14" x14ac:dyDescent="0.25">
      <c r="A138" s="167" t="s">
        <v>557</v>
      </c>
      <c r="B138" s="167" t="s">
        <v>154</v>
      </c>
      <c r="C138" s="167" t="s">
        <v>155</v>
      </c>
      <c r="D138" s="167" t="s">
        <v>554</v>
      </c>
      <c r="E138" s="168">
        <v>2577150</v>
      </c>
      <c r="F138" s="168">
        <v>3277150</v>
      </c>
      <c r="G138" s="168">
        <v>3277150</v>
      </c>
      <c r="H138" s="168">
        <v>0</v>
      </c>
      <c r="I138" s="168">
        <v>0</v>
      </c>
      <c r="J138" s="168">
        <v>0</v>
      </c>
      <c r="K138" s="168">
        <v>392690</v>
      </c>
      <c r="L138" s="168">
        <v>342690</v>
      </c>
      <c r="M138" s="168">
        <v>2884460</v>
      </c>
      <c r="N138" s="168">
        <v>2884460</v>
      </c>
    </row>
    <row r="139" spans="1:14" x14ac:dyDescent="0.25">
      <c r="A139" s="167" t="s">
        <v>557</v>
      </c>
      <c r="B139" s="167" t="s">
        <v>158</v>
      </c>
      <c r="C139" s="167" t="s">
        <v>159</v>
      </c>
      <c r="D139" s="167" t="s">
        <v>554</v>
      </c>
      <c r="E139" s="168">
        <v>1143675</v>
      </c>
      <c r="F139" s="168">
        <v>2293675</v>
      </c>
      <c r="G139" s="168">
        <v>2293675</v>
      </c>
      <c r="H139" s="168">
        <v>0</v>
      </c>
      <c r="I139" s="168">
        <v>0</v>
      </c>
      <c r="J139" s="168">
        <v>0</v>
      </c>
      <c r="K139" s="168">
        <v>0</v>
      </c>
      <c r="L139" s="168">
        <v>0</v>
      </c>
      <c r="M139" s="168">
        <v>2293675</v>
      </c>
      <c r="N139" s="168">
        <v>2293675</v>
      </c>
    </row>
    <row r="140" spans="1:14" x14ac:dyDescent="0.25">
      <c r="A140" s="167" t="s">
        <v>557</v>
      </c>
      <c r="B140" s="167" t="s">
        <v>160</v>
      </c>
      <c r="C140" s="167" t="s">
        <v>161</v>
      </c>
      <c r="D140" s="167" t="s">
        <v>554</v>
      </c>
      <c r="E140" s="168">
        <v>1433475</v>
      </c>
      <c r="F140" s="168">
        <v>983475</v>
      </c>
      <c r="G140" s="168">
        <v>983475</v>
      </c>
      <c r="H140" s="168">
        <v>0</v>
      </c>
      <c r="I140" s="168">
        <v>0</v>
      </c>
      <c r="J140" s="168">
        <v>0</v>
      </c>
      <c r="K140" s="168">
        <v>392690</v>
      </c>
      <c r="L140" s="168">
        <v>342690</v>
      </c>
      <c r="M140" s="168">
        <v>590785</v>
      </c>
      <c r="N140" s="168">
        <v>590785</v>
      </c>
    </row>
    <row r="141" spans="1:14" x14ac:dyDescent="0.25">
      <c r="A141" s="167" t="s">
        <v>557</v>
      </c>
      <c r="B141" s="167" t="s">
        <v>162</v>
      </c>
      <c r="C141" s="167" t="s">
        <v>163</v>
      </c>
      <c r="D141" s="167" t="s">
        <v>554</v>
      </c>
      <c r="E141" s="168">
        <v>9418500</v>
      </c>
      <c r="F141" s="168">
        <v>12168500</v>
      </c>
      <c r="G141" s="168">
        <v>12168500</v>
      </c>
      <c r="H141" s="168">
        <v>0</v>
      </c>
      <c r="I141" s="168">
        <v>1935490</v>
      </c>
      <c r="J141" s="168">
        <v>0</v>
      </c>
      <c r="K141" s="168">
        <v>9353360</v>
      </c>
      <c r="L141" s="168">
        <v>9353360</v>
      </c>
      <c r="M141" s="168">
        <v>879650</v>
      </c>
      <c r="N141" s="168">
        <v>879650</v>
      </c>
    </row>
    <row r="142" spans="1:14" x14ac:dyDescent="0.25">
      <c r="A142" s="167" t="s">
        <v>557</v>
      </c>
      <c r="B142" s="167" t="s">
        <v>164</v>
      </c>
      <c r="C142" s="167" t="s">
        <v>165</v>
      </c>
      <c r="D142" s="167" t="s">
        <v>554</v>
      </c>
      <c r="E142" s="168">
        <v>414000</v>
      </c>
      <c r="F142" s="168">
        <v>1164000</v>
      </c>
      <c r="G142" s="168">
        <v>1164000</v>
      </c>
      <c r="H142" s="168">
        <v>0</v>
      </c>
      <c r="I142" s="168">
        <v>626875</v>
      </c>
      <c r="J142" s="168">
        <v>0</v>
      </c>
      <c r="K142" s="168">
        <v>537125</v>
      </c>
      <c r="L142" s="168">
        <v>537125</v>
      </c>
      <c r="M142" s="168">
        <v>0</v>
      </c>
      <c r="N142" s="168">
        <v>0</v>
      </c>
    </row>
    <row r="143" spans="1:14" x14ac:dyDescent="0.25">
      <c r="A143" s="167" t="s">
        <v>557</v>
      </c>
      <c r="B143" s="167" t="s">
        <v>166</v>
      </c>
      <c r="C143" s="167" t="s">
        <v>167</v>
      </c>
      <c r="D143" s="167" t="s">
        <v>554</v>
      </c>
      <c r="E143" s="168">
        <v>9004500</v>
      </c>
      <c r="F143" s="168">
        <v>11004500</v>
      </c>
      <c r="G143" s="168">
        <v>11004500</v>
      </c>
      <c r="H143" s="168">
        <v>0</v>
      </c>
      <c r="I143" s="168">
        <v>1308615</v>
      </c>
      <c r="J143" s="168">
        <v>0</v>
      </c>
      <c r="K143" s="168">
        <v>8816235</v>
      </c>
      <c r="L143" s="168">
        <v>8816235</v>
      </c>
      <c r="M143" s="168">
        <v>879650</v>
      </c>
      <c r="N143" s="168">
        <v>879650</v>
      </c>
    </row>
    <row r="144" spans="1:14" x14ac:dyDescent="0.25">
      <c r="A144" s="167" t="s">
        <v>557</v>
      </c>
      <c r="B144" s="167" t="s">
        <v>172</v>
      </c>
      <c r="C144" s="167" t="s">
        <v>173</v>
      </c>
      <c r="D144" s="167" t="s">
        <v>554</v>
      </c>
      <c r="E144" s="168">
        <v>8000000</v>
      </c>
      <c r="F144" s="168">
        <v>7400000</v>
      </c>
      <c r="G144" s="168">
        <v>7400000</v>
      </c>
      <c r="H144" s="168">
        <v>0</v>
      </c>
      <c r="I144" s="168">
        <v>0</v>
      </c>
      <c r="J144" s="168">
        <v>0</v>
      </c>
      <c r="K144" s="168">
        <v>3852710</v>
      </c>
      <c r="L144" s="168">
        <v>3852710</v>
      </c>
      <c r="M144" s="168">
        <v>3547290</v>
      </c>
      <c r="N144" s="168">
        <v>3547290</v>
      </c>
    </row>
    <row r="145" spans="1:14" x14ac:dyDescent="0.25">
      <c r="A145" s="167" t="s">
        <v>557</v>
      </c>
      <c r="B145" s="167" t="s">
        <v>174</v>
      </c>
      <c r="C145" s="167" t="s">
        <v>175</v>
      </c>
      <c r="D145" s="167" t="s">
        <v>554</v>
      </c>
      <c r="E145" s="168">
        <v>6000000</v>
      </c>
      <c r="F145" s="168">
        <v>6000000</v>
      </c>
      <c r="G145" s="168">
        <v>6000000</v>
      </c>
      <c r="H145" s="168">
        <v>0</v>
      </c>
      <c r="I145" s="168">
        <v>0</v>
      </c>
      <c r="J145" s="168">
        <v>0</v>
      </c>
      <c r="K145" s="168">
        <v>3852710</v>
      </c>
      <c r="L145" s="168">
        <v>3852710</v>
      </c>
      <c r="M145" s="168">
        <v>2147290</v>
      </c>
      <c r="N145" s="168">
        <v>2147290</v>
      </c>
    </row>
    <row r="146" spans="1:14" x14ac:dyDescent="0.25">
      <c r="A146" s="167" t="s">
        <v>557</v>
      </c>
      <c r="B146" s="167" t="s">
        <v>581</v>
      </c>
      <c r="C146" s="167" t="s">
        <v>582</v>
      </c>
      <c r="D146" s="167" t="s">
        <v>554</v>
      </c>
      <c r="E146" s="168">
        <v>2000000</v>
      </c>
      <c r="F146" s="168">
        <v>1400000</v>
      </c>
      <c r="G146" s="168">
        <v>1400000</v>
      </c>
      <c r="H146" s="168">
        <v>0</v>
      </c>
      <c r="I146" s="168">
        <v>0</v>
      </c>
      <c r="J146" s="168">
        <v>0</v>
      </c>
      <c r="K146" s="168">
        <v>0</v>
      </c>
      <c r="L146" s="168">
        <v>0</v>
      </c>
      <c r="M146" s="168">
        <v>1400000</v>
      </c>
      <c r="N146" s="168">
        <v>1400000</v>
      </c>
    </row>
    <row r="147" spans="1:14" x14ac:dyDescent="0.25">
      <c r="A147" s="167" t="s">
        <v>557</v>
      </c>
      <c r="B147" s="167" t="s">
        <v>176</v>
      </c>
      <c r="C147" s="167" t="s">
        <v>177</v>
      </c>
      <c r="D147" s="167" t="s">
        <v>554</v>
      </c>
      <c r="E147" s="168">
        <v>13370130</v>
      </c>
      <c r="F147" s="168">
        <v>19800130</v>
      </c>
      <c r="G147" s="168">
        <v>19800130</v>
      </c>
      <c r="H147" s="168">
        <v>0</v>
      </c>
      <c r="I147" s="168">
        <v>472356</v>
      </c>
      <c r="J147" s="168">
        <v>0</v>
      </c>
      <c r="K147" s="168">
        <v>18744300</v>
      </c>
      <c r="L147" s="168">
        <v>12484300</v>
      </c>
      <c r="M147" s="168">
        <v>583474</v>
      </c>
      <c r="N147" s="168">
        <v>583474</v>
      </c>
    </row>
    <row r="148" spans="1:14" x14ac:dyDescent="0.25">
      <c r="A148" s="167" t="s">
        <v>557</v>
      </c>
      <c r="B148" s="167" t="s">
        <v>317</v>
      </c>
      <c r="C148" s="167" t="s">
        <v>318</v>
      </c>
      <c r="D148" s="167" t="s">
        <v>554</v>
      </c>
      <c r="E148" s="168">
        <v>12221280</v>
      </c>
      <c r="F148" s="168">
        <v>19221280</v>
      </c>
      <c r="G148" s="168">
        <v>19221280</v>
      </c>
      <c r="H148" s="168">
        <v>0</v>
      </c>
      <c r="I148" s="168">
        <v>472356</v>
      </c>
      <c r="J148" s="168">
        <v>0</v>
      </c>
      <c r="K148" s="168">
        <v>18744300</v>
      </c>
      <c r="L148" s="168">
        <v>12484300</v>
      </c>
      <c r="M148" s="168">
        <v>4624</v>
      </c>
      <c r="N148" s="168">
        <v>4624</v>
      </c>
    </row>
    <row r="149" spans="1:14" x14ac:dyDescent="0.25">
      <c r="A149" s="167" t="s">
        <v>557</v>
      </c>
      <c r="B149" s="167" t="s">
        <v>178</v>
      </c>
      <c r="C149" s="167" t="s">
        <v>179</v>
      </c>
      <c r="D149" s="167" t="s">
        <v>554</v>
      </c>
      <c r="E149" s="168">
        <v>1148850</v>
      </c>
      <c r="F149" s="168">
        <v>578850</v>
      </c>
      <c r="G149" s="168">
        <v>578850</v>
      </c>
      <c r="H149" s="168">
        <v>0</v>
      </c>
      <c r="I149" s="168">
        <v>0</v>
      </c>
      <c r="J149" s="168">
        <v>0</v>
      </c>
      <c r="K149" s="168">
        <v>0</v>
      </c>
      <c r="L149" s="168">
        <v>0</v>
      </c>
      <c r="M149" s="168">
        <v>578850</v>
      </c>
      <c r="N149" s="168">
        <v>578850</v>
      </c>
    </row>
    <row r="150" spans="1:14" x14ac:dyDescent="0.25">
      <c r="A150" s="167" t="s">
        <v>557</v>
      </c>
      <c r="B150" s="167" t="s">
        <v>182</v>
      </c>
      <c r="C150" s="167" t="s">
        <v>183</v>
      </c>
      <c r="D150" s="167" t="s">
        <v>554</v>
      </c>
      <c r="E150" s="168">
        <v>4673500</v>
      </c>
      <c r="F150" s="168">
        <v>3873500</v>
      </c>
      <c r="G150" s="168">
        <v>3873500</v>
      </c>
      <c r="H150" s="168">
        <v>0</v>
      </c>
      <c r="I150" s="168">
        <v>0</v>
      </c>
      <c r="J150" s="168">
        <v>0</v>
      </c>
      <c r="K150" s="168">
        <v>6000</v>
      </c>
      <c r="L150" s="168">
        <v>6000</v>
      </c>
      <c r="M150" s="168">
        <v>3867500</v>
      </c>
      <c r="N150" s="168">
        <v>3867500</v>
      </c>
    </row>
    <row r="151" spans="1:14" x14ac:dyDescent="0.25">
      <c r="A151" s="167" t="s">
        <v>557</v>
      </c>
      <c r="B151" s="167" t="s">
        <v>186</v>
      </c>
      <c r="C151" s="167" t="s">
        <v>187</v>
      </c>
      <c r="D151" s="167" t="s">
        <v>554</v>
      </c>
      <c r="E151" s="168">
        <v>621000</v>
      </c>
      <c r="F151" s="168">
        <v>621000</v>
      </c>
      <c r="G151" s="168">
        <v>621000</v>
      </c>
      <c r="H151" s="168">
        <v>0</v>
      </c>
      <c r="I151" s="168">
        <v>0</v>
      </c>
      <c r="J151" s="168">
        <v>0</v>
      </c>
      <c r="K151" s="168">
        <v>6000</v>
      </c>
      <c r="L151" s="168">
        <v>6000</v>
      </c>
      <c r="M151" s="168">
        <v>615000</v>
      </c>
      <c r="N151" s="168">
        <v>615000</v>
      </c>
    </row>
    <row r="152" spans="1:14" x14ac:dyDescent="0.25">
      <c r="A152" s="167" t="s">
        <v>557</v>
      </c>
      <c r="B152" s="167" t="s">
        <v>190</v>
      </c>
      <c r="C152" s="167" t="s">
        <v>191</v>
      </c>
      <c r="D152" s="167" t="s">
        <v>554</v>
      </c>
      <c r="E152" s="168">
        <v>2000000</v>
      </c>
      <c r="F152" s="168">
        <v>1250000</v>
      </c>
      <c r="G152" s="168">
        <v>1250000</v>
      </c>
      <c r="H152" s="168">
        <v>0</v>
      </c>
      <c r="I152" s="168">
        <v>0</v>
      </c>
      <c r="J152" s="168">
        <v>0</v>
      </c>
      <c r="K152" s="168">
        <v>0</v>
      </c>
      <c r="L152" s="168">
        <v>0</v>
      </c>
      <c r="M152" s="168">
        <v>1250000</v>
      </c>
      <c r="N152" s="168">
        <v>1250000</v>
      </c>
    </row>
    <row r="153" spans="1:14" x14ac:dyDescent="0.25">
      <c r="A153" s="167" t="s">
        <v>557</v>
      </c>
      <c r="B153" s="167" t="s">
        <v>192</v>
      </c>
      <c r="C153" s="167" t="s">
        <v>193</v>
      </c>
      <c r="D153" s="167" t="s">
        <v>554</v>
      </c>
      <c r="E153" s="168">
        <v>1552500</v>
      </c>
      <c r="F153" s="168">
        <v>1502500</v>
      </c>
      <c r="G153" s="168">
        <v>1502500</v>
      </c>
      <c r="H153" s="168">
        <v>0</v>
      </c>
      <c r="I153" s="168">
        <v>0</v>
      </c>
      <c r="J153" s="168">
        <v>0</v>
      </c>
      <c r="K153" s="168">
        <v>0</v>
      </c>
      <c r="L153" s="168">
        <v>0</v>
      </c>
      <c r="M153" s="168">
        <v>1502500</v>
      </c>
      <c r="N153" s="168">
        <v>1502500</v>
      </c>
    </row>
    <row r="154" spans="1:14" x14ac:dyDescent="0.25">
      <c r="A154" s="167" t="s">
        <v>557</v>
      </c>
      <c r="B154" s="167" t="s">
        <v>194</v>
      </c>
      <c r="C154" s="167" t="s">
        <v>195</v>
      </c>
      <c r="D154" s="167" t="s">
        <v>554</v>
      </c>
      <c r="E154" s="168">
        <v>500000</v>
      </c>
      <c r="F154" s="168">
        <v>500000</v>
      </c>
      <c r="G154" s="168">
        <v>500000</v>
      </c>
      <c r="H154" s="168">
        <v>0</v>
      </c>
      <c r="I154" s="168">
        <v>0</v>
      </c>
      <c r="J154" s="168">
        <v>0</v>
      </c>
      <c r="K154" s="168">
        <v>0</v>
      </c>
      <c r="L154" s="168">
        <v>0</v>
      </c>
      <c r="M154" s="168">
        <v>500000</v>
      </c>
      <c r="N154" s="168">
        <v>500000</v>
      </c>
    </row>
    <row r="155" spans="1:14" x14ac:dyDescent="0.25">
      <c r="A155" s="167" t="s">
        <v>557</v>
      </c>
      <c r="B155" s="167" t="s">
        <v>196</v>
      </c>
      <c r="C155" s="167" t="s">
        <v>197</v>
      </c>
      <c r="D155" s="167" t="s">
        <v>554</v>
      </c>
      <c r="E155" s="168">
        <v>250000</v>
      </c>
      <c r="F155" s="168">
        <v>215000</v>
      </c>
      <c r="G155" s="168">
        <v>215000</v>
      </c>
      <c r="H155" s="168">
        <v>0</v>
      </c>
      <c r="I155" s="168">
        <v>4666</v>
      </c>
      <c r="J155" s="168">
        <v>0</v>
      </c>
      <c r="K155" s="168">
        <v>80334</v>
      </c>
      <c r="L155" s="168">
        <v>0</v>
      </c>
      <c r="M155" s="168">
        <v>130000</v>
      </c>
      <c r="N155" s="168">
        <v>130000</v>
      </c>
    </row>
    <row r="156" spans="1:14" x14ac:dyDescent="0.25">
      <c r="A156" s="167" t="s">
        <v>557</v>
      </c>
      <c r="B156" s="167" t="s">
        <v>198</v>
      </c>
      <c r="C156" s="167" t="s">
        <v>199</v>
      </c>
      <c r="D156" s="167" t="s">
        <v>554</v>
      </c>
      <c r="E156" s="168">
        <v>250000</v>
      </c>
      <c r="F156" s="168">
        <v>215000</v>
      </c>
      <c r="G156" s="168">
        <v>215000</v>
      </c>
      <c r="H156" s="168">
        <v>0</v>
      </c>
      <c r="I156" s="168">
        <v>4666</v>
      </c>
      <c r="J156" s="168">
        <v>0</v>
      </c>
      <c r="K156" s="168">
        <v>80334</v>
      </c>
      <c r="L156" s="168">
        <v>0</v>
      </c>
      <c r="M156" s="168">
        <v>130000</v>
      </c>
      <c r="N156" s="168">
        <v>130000</v>
      </c>
    </row>
    <row r="157" spans="1:14" x14ac:dyDescent="0.25">
      <c r="A157" s="167" t="s">
        <v>557</v>
      </c>
      <c r="B157" s="167" t="s">
        <v>200</v>
      </c>
      <c r="C157" s="167" t="s">
        <v>201</v>
      </c>
      <c r="D157" s="167" t="s">
        <v>554</v>
      </c>
      <c r="E157" s="168">
        <v>600000</v>
      </c>
      <c r="F157" s="168">
        <v>600000</v>
      </c>
      <c r="G157" s="168">
        <v>600000</v>
      </c>
      <c r="H157" s="168">
        <v>0</v>
      </c>
      <c r="I157" s="168">
        <v>0</v>
      </c>
      <c r="J157" s="168">
        <v>0</v>
      </c>
      <c r="K157" s="168">
        <v>200000</v>
      </c>
      <c r="L157" s="168">
        <v>200000</v>
      </c>
      <c r="M157" s="168">
        <v>400000</v>
      </c>
      <c r="N157" s="168">
        <v>400000</v>
      </c>
    </row>
    <row r="158" spans="1:14" x14ac:dyDescent="0.25">
      <c r="A158" s="167" t="s">
        <v>557</v>
      </c>
      <c r="B158" s="167" t="s">
        <v>202</v>
      </c>
      <c r="C158" s="167" t="s">
        <v>203</v>
      </c>
      <c r="D158" s="167" t="s">
        <v>554</v>
      </c>
      <c r="E158" s="168">
        <v>600000</v>
      </c>
      <c r="F158" s="168">
        <v>600000</v>
      </c>
      <c r="G158" s="168">
        <v>600000</v>
      </c>
      <c r="H158" s="168">
        <v>0</v>
      </c>
      <c r="I158" s="168">
        <v>0</v>
      </c>
      <c r="J158" s="168">
        <v>0</v>
      </c>
      <c r="K158" s="168">
        <v>200000</v>
      </c>
      <c r="L158" s="168">
        <v>200000</v>
      </c>
      <c r="M158" s="168">
        <v>400000</v>
      </c>
      <c r="N158" s="168">
        <v>400000</v>
      </c>
    </row>
    <row r="159" spans="1:14" x14ac:dyDescent="0.25">
      <c r="A159" s="167" t="s">
        <v>557</v>
      </c>
      <c r="B159" s="167" t="s">
        <v>204</v>
      </c>
      <c r="C159" s="167" t="s">
        <v>205</v>
      </c>
      <c r="D159" s="167" t="s">
        <v>554</v>
      </c>
      <c r="E159" s="168">
        <v>27667540</v>
      </c>
      <c r="F159" s="168">
        <v>31322540</v>
      </c>
      <c r="G159" s="168">
        <v>31322540</v>
      </c>
      <c r="H159" s="168">
        <v>0</v>
      </c>
      <c r="I159" s="168">
        <v>2507775.77</v>
      </c>
      <c r="J159" s="168">
        <v>0</v>
      </c>
      <c r="K159" s="168">
        <v>18251843.129999999</v>
      </c>
      <c r="L159" s="168">
        <v>8226675.5499999998</v>
      </c>
      <c r="M159" s="168">
        <v>10562921.1</v>
      </c>
      <c r="N159" s="168">
        <v>10562921.1</v>
      </c>
    </row>
    <row r="160" spans="1:14" x14ac:dyDescent="0.25">
      <c r="A160" s="167" t="s">
        <v>557</v>
      </c>
      <c r="B160" s="167" t="s">
        <v>206</v>
      </c>
      <c r="C160" s="167" t="s">
        <v>207</v>
      </c>
      <c r="D160" s="167" t="s">
        <v>554</v>
      </c>
      <c r="E160" s="168">
        <v>11709690</v>
      </c>
      <c r="F160" s="168">
        <v>13349690</v>
      </c>
      <c r="G160" s="168">
        <v>13349690</v>
      </c>
      <c r="H160" s="168">
        <v>0</v>
      </c>
      <c r="I160" s="168">
        <v>304793</v>
      </c>
      <c r="J160" s="168">
        <v>0</v>
      </c>
      <c r="K160" s="168">
        <v>8644602.9000000004</v>
      </c>
      <c r="L160" s="168">
        <v>3070455.9</v>
      </c>
      <c r="M160" s="168">
        <v>4400294.0999999996</v>
      </c>
      <c r="N160" s="168">
        <v>4400294.0999999996</v>
      </c>
    </row>
    <row r="161" spans="1:14" x14ac:dyDescent="0.25">
      <c r="A161" s="167" t="s">
        <v>557</v>
      </c>
      <c r="B161" s="167" t="s">
        <v>208</v>
      </c>
      <c r="C161" s="167" t="s">
        <v>209</v>
      </c>
      <c r="D161" s="167" t="s">
        <v>554</v>
      </c>
      <c r="E161" s="168">
        <v>6624000</v>
      </c>
      <c r="F161" s="168">
        <v>6624000</v>
      </c>
      <c r="G161" s="168">
        <v>6624000</v>
      </c>
      <c r="H161" s="168">
        <v>0</v>
      </c>
      <c r="I161" s="168">
        <v>304793</v>
      </c>
      <c r="J161" s="168">
        <v>0</v>
      </c>
      <c r="K161" s="168">
        <v>3230220.9</v>
      </c>
      <c r="L161" s="168">
        <v>3070455.9</v>
      </c>
      <c r="M161" s="168">
        <v>3088986.1</v>
      </c>
      <c r="N161" s="168">
        <v>3088986.1</v>
      </c>
    </row>
    <row r="162" spans="1:14" x14ac:dyDescent="0.25">
      <c r="A162" s="167" t="s">
        <v>557</v>
      </c>
      <c r="B162" s="167" t="s">
        <v>212</v>
      </c>
      <c r="C162" s="167" t="s">
        <v>213</v>
      </c>
      <c r="D162" s="167" t="s">
        <v>554</v>
      </c>
      <c r="E162" s="168">
        <v>4485690</v>
      </c>
      <c r="F162" s="168">
        <v>6425690</v>
      </c>
      <c r="G162" s="168">
        <v>6425690</v>
      </c>
      <c r="H162" s="168">
        <v>0</v>
      </c>
      <c r="I162" s="168">
        <v>0</v>
      </c>
      <c r="J162" s="168">
        <v>0</v>
      </c>
      <c r="K162" s="168">
        <v>5414382</v>
      </c>
      <c r="L162" s="168">
        <v>0</v>
      </c>
      <c r="M162" s="168">
        <v>1011308</v>
      </c>
      <c r="N162" s="168">
        <v>1011308</v>
      </c>
    </row>
    <row r="163" spans="1:14" x14ac:dyDescent="0.25">
      <c r="A163" s="167" t="s">
        <v>557</v>
      </c>
      <c r="B163" s="167" t="s">
        <v>214</v>
      </c>
      <c r="C163" s="167" t="s">
        <v>215</v>
      </c>
      <c r="D163" s="167" t="s">
        <v>554</v>
      </c>
      <c r="E163" s="168">
        <v>600000</v>
      </c>
      <c r="F163" s="168">
        <v>300000</v>
      </c>
      <c r="G163" s="168">
        <v>300000</v>
      </c>
      <c r="H163" s="168">
        <v>0</v>
      </c>
      <c r="I163" s="168">
        <v>0</v>
      </c>
      <c r="J163" s="168">
        <v>0</v>
      </c>
      <c r="K163" s="168">
        <v>0</v>
      </c>
      <c r="L163" s="168">
        <v>0</v>
      </c>
      <c r="M163" s="168">
        <v>300000</v>
      </c>
      <c r="N163" s="168">
        <v>300000</v>
      </c>
    </row>
    <row r="164" spans="1:14" x14ac:dyDescent="0.25">
      <c r="A164" s="167" t="s">
        <v>557</v>
      </c>
      <c r="B164" s="167" t="s">
        <v>216</v>
      </c>
      <c r="C164" s="167" t="s">
        <v>217</v>
      </c>
      <c r="D164" s="167" t="s">
        <v>554</v>
      </c>
      <c r="E164" s="168">
        <v>2691000</v>
      </c>
      <c r="F164" s="168">
        <v>4241000</v>
      </c>
      <c r="G164" s="168">
        <v>4241000</v>
      </c>
      <c r="H164" s="168">
        <v>0</v>
      </c>
      <c r="I164" s="168">
        <v>754720</v>
      </c>
      <c r="J164" s="168">
        <v>0</v>
      </c>
      <c r="K164" s="168">
        <v>3468030</v>
      </c>
      <c r="L164" s="168">
        <v>3233201</v>
      </c>
      <c r="M164" s="168">
        <v>18250</v>
      </c>
      <c r="N164" s="168">
        <v>18250</v>
      </c>
    </row>
    <row r="165" spans="1:14" x14ac:dyDescent="0.25">
      <c r="A165" s="167" t="s">
        <v>557</v>
      </c>
      <c r="B165" s="167" t="s">
        <v>218</v>
      </c>
      <c r="C165" s="167" t="s">
        <v>219</v>
      </c>
      <c r="D165" s="167" t="s">
        <v>554</v>
      </c>
      <c r="E165" s="168">
        <v>2691000</v>
      </c>
      <c r="F165" s="168">
        <v>4241000</v>
      </c>
      <c r="G165" s="168">
        <v>4241000</v>
      </c>
      <c r="H165" s="168">
        <v>0</v>
      </c>
      <c r="I165" s="168">
        <v>754720</v>
      </c>
      <c r="J165" s="168">
        <v>0</v>
      </c>
      <c r="K165" s="168">
        <v>3468030</v>
      </c>
      <c r="L165" s="168">
        <v>3233201</v>
      </c>
      <c r="M165" s="168">
        <v>18250</v>
      </c>
      <c r="N165" s="168">
        <v>18250</v>
      </c>
    </row>
    <row r="166" spans="1:14" x14ac:dyDescent="0.25">
      <c r="A166" s="167" t="s">
        <v>557</v>
      </c>
      <c r="B166" s="167" t="s">
        <v>220</v>
      </c>
      <c r="C166" s="167" t="s">
        <v>221</v>
      </c>
      <c r="D166" s="167" t="s">
        <v>554</v>
      </c>
      <c r="E166" s="168">
        <v>7106450</v>
      </c>
      <c r="F166" s="168">
        <v>5226450</v>
      </c>
      <c r="G166" s="168">
        <v>5226450</v>
      </c>
      <c r="H166" s="168">
        <v>0</v>
      </c>
      <c r="I166" s="168">
        <v>0</v>
      </c>
      <c r="J166" s="168">
        <v>0</v>
      </c>
      <c r="K166" s="168">
        <v>647231</v>
      </c>
      <c r="L166" s="168">
        <v>389575</v>
      </c>
      <c r="M166" s="168">
        <v>4579219</v>
      </c>
      <c r="N166" s="168">
        <v>4579219</v>
      </c>
    </row>
    <row r="167" spans="1:14" x14ac:dyDescent="0.25">
      <c r="A167" s="167" t="s">
        <v>557</v>
      </c>
      <c r="B167" s="167" t="s">
        <v>222</v>
      </c>
      <c r="C167" s="167" t="s">
        <v>223</v>
      </c>
      <c r="D167" s="167" t="s">
        <v>554</v>
      </c>
      <c r="E167" s="168">
        <v>2534000</v>
      </c>
      <c r="F167" s="168">
        <v>1104000</v>
      </c>
      <c r="G167" s="168">
        <v>1104000</v>
      </c>
      <c r="H167" s="168">
        <v>0</v>
      </c>
      <c r="I167" s="168">
        <v>0</v>
      </c>
      <c r="J167" s="168">
        <v>0</v>
      </c>
      <c r="K167" s="168">
        <v>0</v>
      </c>
      <c r="L167" s="168">
        <v>0</v>
      </c>
      <c r="M167" s="168">
        <v>1104000</v>
      </c>
      <c r="N167" s="168">
        <v>1104000</v>
      </c>
    </row>
    <row r="168" spans="1:14" x14ac:dyDescent="0.25">
      <c r="A168" s="167" t="s">
        <v>557</v>
      </c>
      <c r="B168" s="167" t="s">
        <v>346</v>
      </c>
      <c r="C168" s="167" t="s">
        <v>347</v>
      </c>
      <c r="D168" s="167" t="s">
        <v>554</v>
      </c>
      <c r="E168" s="168">
        <v>4000000</v>
      </c>
      <c r="F168" s="168">
        <v>3050000</v>
      </c>
      <c r="G168" s="168">
        <v>3050000</v>
      </c>
      <c r="H168" s="168">
        <v>0</v>
      </c>
      <c r="I168" s="168">
        <v>0</v>
      </c>
      <c r="J168" s="168">
        <v>0</v>
      </c>
      <c r="K168" s="168">
        <v>258750</v>
      </c>
      <c r="L168" s="168">
        <v>258750</v>
      </c>
      <c r="M168" s="168">
        <v>2791250</v>
      </c>
      <c r="N168" s="168">
        <v>2791250</v>
      </c>
    </row>
    <row r="169" spans="1:14" x14ac:dyDescent="0.25">
      <c r="A169" s="167" t="s">
        <v>557</v>
      </c>
      <c r="B169" s="167" t="s">
        <v>224</v>
      </c>
      <c r="C169" s="167" t="s">
        <v>225</v>
      </c>
      <c r="D169" s="167" t="s">
        <v>554</v>
      </c>
      <c r="E169" s="168">
        <v>72450</v>
      </c>
      <c r="F169" s="168">
        <v>572450</v>
      </c>
      <c r="G169" s="168">
        <v>572450</v>
      </c>
      <c r="H169" s="168">
        <v>0</v>
      </c>
      <c r="I169" s="168">
        <v>0</v>
      </c>
      <c r="J169" s="168">
        <v>0</v>
      </c>
      <c r="K169" s="168">
        <v>388481</v>
      </c>
      <c r="L169" s="168">
        <v>130825</v>
      </c>
      <c r="M169" s="168">
        <v>183969</v>
      </c>
      <c r="N169" s="168">
        <v>183969</v>
      </c>
    </row>
    <row r="170" spans="1:14" x14ac:dyDescent="0.25">
      <c r="A170" s="167" t="s">
        <v>557</v>
      </c>
      <c r="B170" s="167" t="s">
        <v>228</v>
      </c>
      <c r="C170" s="167" t="s">
        <v>229</v>
      </c>
      <c r="D170" s="167" t="s">
        <v>554</v>
      </c>
      <c r="E170" s="168">
        <v>500000</v>
      </c>
      <c r="F170" s="168">
        <v>500000</v>
      </c>
      <c r="G170" s="168">
        <v>500000</v>
      </c>
      <c r="H170" s="168">
        <v>0</v>
      </c>
      <c r="I170" s="168">
        <v>0</v>
      </c>
      <c r="J170" s="168">
        <v>0</v>
      </c>
      <c r="K170" s="168">
        <v>0</v>
      </c>
      <c r="L170" s="168">
        <v>0</v>
      </c>
      <c r="M170" s="168">
        <v>500000</v>
      </c>
      <c r="N170" s="168">
        <v>500000</v>
      </c>
    </row>
    <row r="171" spans="1:14" x14ac:dyDescent="0.25">
      <c r="A171" s="167" t="s">
        <v>557</v>
      </c>
      <c r="B171" s="167" t="s">
        <v>232</v>
      </c>
      <c r="C171" s="167" t="s">
        <v>233</v>
      </c>
      <c r="D171" s="167" t="s">
        <v>554</v>
      </c>
      <c r="E171" s="168">
        <v>2517500</v>
      </c>
      <c r="F171" s="168">
        <v>3267500</v>
      </c>
      <c r="G171" s="168">
        <v>3267500</v>
      </c>
      <c r="H171" s="168">
        <v>0</v>
      </c>
      <c r="I171" s="168">
        <v>1002110.77</v>
      </c>
      <c r="J171" s="168">
        <v>0</v>
      </c>
      <c r="K171" s="168">
        <v>1159039.2</v>
      </c>
      <c r="L171" s="168">
        <v>0</v>
      </c>
      <c r="M171" s="168">
        <v>1106350.03</v>
      </c>
      <c r="N171" s="168">
        <v>1106350.03</v>
      </c>
    </row>
    <row r="172" spans="1:14" x14ac:dyDescent="0.25">
      <c r="A172" s="167" t="s">
        <v>557</v>
      </c>
      <c r="B172" s="167" t="s">
        <v>234</v>
      </c>
      <c r="C172" s="167" t="s">
        <v>235</v>
      </c>
      <c r="D172" s="167" t="s">
        <v>554</v>
      </c>
      <c r="E172" s="168">
        <v>2000000</v>
      </c>
      <c r="F172" s="168">
        <v>2750000</v>
      </c>
      <c r="G172" s="168">
        <v>2750000</v>
      </c>
      <c r="H172" s="168">
        <v>0</v>
      </c>
      <c r="I172" s="168">
        <v>1002110.77</v>
      </c>
      <c r="J172" s="168">
        <v>0</v>
      </c>
      <c r="K172" s="168">
        <v>1159039.2</v>
      </c>
      <c r="L172" s="168">
        <v>0</v>
      </c>
      <c r="M172" s="168">
        <v>588850.03</v>
      </c>
      <c r="N172" s="168">
        <v>588850.03</v>
      </c>
    </row>
    <row r="173" spans="1:14" x14ac:dyDescent="0.25">
      <c r="A173" s="167" t="s">
        <v>557</v>
      </c>
      <c r="B173" s="167" t="s">
        <v>236</v>
      </c>
      <c r="C173" s="167" t="s">
        <v>237</v>
      </c>
      <c r="D173" s="167" t="s">
        <v>554</v>
      </c>
      <c r="E173" s="168">
        <v>517500</v>
      </c>
      <c r="F173" s="168">
        <v>517500</v>
      </c>
      <c r="G173" s="168">
        <v>517500</v>
      </c>
      <c r="H173" s="168">
        <v>0</v>
      </c>
      <c r="I173" s="168">
        <v>0</v>
      </c>
      <c r="J173" s="168">
        <v>0</v>
      </c>
      <c r="K173" s="168">
        <v>0</v>
      </c>
      <c r="L173" s="168">
        <v>0</v>
      </c>
      <c r="M173" s="168">
        <v>517500</v>
      </c>
      <c r="N173" s="168">
        <v>517500</v>
      </c>
    </row>
    <row r="174" spans="1:14" x14ac:dyDescent="0.25">
      <c r="A174" s="167" t="s">
        <v>557</v>
      </c>
      <c r="B174" s="167" t="s">
        <v>238</v>
      </c>
      <c r="C174" s="167" t="s">
        <v>239</v>
      </c>
      <c r="D174" s="167" t="s">
        <v>554</v>
      </c>
      <c r="E174" s="168">
        <v>3642900</v>
      </c>
      <c r="F174" s="168">
        <v>5237900</v>
      </c>
      <c r="G174" s="168">
        <v>5237900</v>
      </c>
      <c r="H174" s="168">
        <v>0</v>
      </c>
      <c r="I174" s="168">
        <v>446152</v>
      </c>
      <c r="J174" s="168">
        <v>0</v>
      </c>
      <c r="K174" s="168">
        <v>4332940.03</v>
      </c>
      <c r="L174" s="168">
        <v>1533443.65</v>
      </c>
      <c r="M174" s="168">
        <v>458807.97</v>
      </c>
      <c r="N174" s="168">
        <v>458807.97</v>
      </c>
    </row>
    <row r="175" spans="1:14" x14ac:dyDescent="0.25">
      <c r="A175" s="167" t="s">
        <v>557</v>
      </c>
      <c r="B175" s="167" t="s">
        <v>240</v>
      </c>
      <c r="C175" s="167" t="s">
        <v>241</v>
      </c>
      <c r="D175" s="167" t="s">
        <v>554</v>
      </c>
      <c r="E175" s="168">
        <v>828000</v>
      </c>
      <c r="F175" s="168">
        <v>1143000</v>
      </c>
      <c r="G175" s="168">
        <v>1143000</v>
      </c>
      <c r="H175" s="168">
        <v>0</v>
      </c>
      <c r="I175" s="168">
        <v>446152</v>
      </c>
      <c r="J175" s="168">
        <v>0</v>
      </c>
      <c r="K175" s="168">
        <v>421566.12</v>
      </c>
      <c r="L175" s="168">
        <v>94100.12</v>
      </c>
      <c r="M175" s="168">
        <v>275281.88</v>
      </c>
      <c r="N175" s="168">
        <v>275281.88</v>
      </c>
    </row>
    <row r="176" spans="1:14" x14ac:dyDescent="0.25">
      <c r="A176" s="167" t="s">
        <v>557</v>
      </c>
      <c r="B176" s="167" t="s">
        <v>244</v>
      </c>
      <c r="C176" s="167" t="s">
        <v>245</v>
      </c>
      <c r="D176" s="167" t="s">
        <v>554</v>
      </c>
      <c r="E176" s="168">
        <v>1542150</v>
      </c>
      <c r="F176" s="168">
        <v>2472150</v>
      </c>
      <c r="G176" s="168">
        <v>2472150</v>
      </c>
      <c r="H176" s="168">
        <v>0</v>
      </c>
      <c r="I176" s="168">
        <v>0</v>
      </c>
      <c r="J176" s="168">
        <v>0</v>
      </c>
      <c r="K176" s="168">
        <v>2362390.5299999998</v>
      </c>
      <c r="L176" s="168">
        <v>1077856.53</v>
      </c>
      <c r="M176" s="168">
        <v>109759.47</v>
      </c>
      <c r="N176" s="168">
        <v>109759.47</v>
      </c>
    </row>
    <row r="177" spans="1:14" x14ac:dyDescent="0.25">
      <c r="A177" s="167" t="s">
        <v>557</v>
      </c>
      <c r="B177" s="167" t="s">
        <v>246</v>
      </c>
      <c r="C177" s="167" t="s">
        <v>247</v>
      </c>
      <c r="D177" s="167" t="s">
        <v>554</v>
      </c>
      <c r="E177" s="168">
        <v>103500</v>
      </c>
      <c r="F177" s="168">
        <v>153500</v>
      </c>
      <c r="G177" s="168">
        <v>153500</v>
      </c>
      <c r="H177" s="168">
        <v>0</v>
      </c>
      <c r="I177" s="168">
        <v>0</v>
      </c>
      <c r="J177" s="168">
        <v>0</v>
      </c>
      <c r="K177" s="168">
        <v>122000</v>
      </c>
      <c r="L177" s="168">
        <v>0</v>
      </c>
      <c r="M177" s="168">
        <v>31500</v>
      </c>
      <c r="N177" s="168">
        <v>31500</v>
      </c>
    </row>
    <row r="178" spans="1:14" x14ac:dyDescent="0.25">
      <c r="A178" s="167" t="s">
        <v>557</v>
      </c>
      <c r="B178" s="167" t="s">
        <v>248</v>
      </c>
      <c r="C178" s="167" t="s">
        <v>249</v>
      </c>
      <c r="D178" s="167" t="s">
        <v>554</v>
      </c>
      <c r="E178" s="168">
        <v>362250</v>
      </c>
      <c r="F178" s="168">
        <v>512250</v>
      </c>
      <c r="G178" s="168">
        <v>512250</v>
      </c>
      <c r="H178" s="168">
        <v>0</v>
      </c>
      <c r="I178" s="168">
        <v>0</v>
      </c>
      <c r="J178" s="168">
        <v>0</v>
      </c>
      <c r="K178" s="168">
        <v>496183.38</v>
      </c>
      <c r="L178" s="168">
        <v>161537</v>
      </c>
      <c r="M178" s="168">
        <v>16066.62</v>
      </c>
      <c r="N178" s="168">
        <v>16066.62</v>
      </c>
    </row>
    <row r="179" spans="1:14" x14ac:dyDescent="0.25">
      <c r="A179" s="167" t="s">
        <v>557</v>
      </c>
      <c r="B179" s="167" t="s">
        <v>252</v>
      </c>
      <c r="C179" s="167" t="s">
        <v>253</v>
      </c>
      <c r="D179" s="167" t="s">
        <v>554</v>
      </c>
      <c r="E179" s="168">
        <v>600000</v>
      </c>
      <c r="F179" s="168">
        <v>0</v>
      </c>
      <c r="G179" s="168">
        <v>0</v>
      </c>
      <c r="H179" s="168">
        <v>0</v>
      </c>
      <c r="I179" s="168">
        <v>0</v>
      </c>
      <c r="J179" s="168">
        <v>0</v>
      </c>
      <c r="K179" s="168">
        <v>0</v>
      </c>
      <c r="L179" s="168">
        <v>0</v>
      </c>
      <c r="M179" s="168">
        <v>0</v>
      </c>
      <c r="N179" s="168">
        <v>0</v>
      </c>
    </row>
    <row r="180" spans="1:14" x14ac:dyDescent="0.25">
      <c r="A180" s="167" t="s">
        <v>557</v>
      </c>
      <c r="B180" s="167" t="s">
        <v>254</v>
      </c>
      <c r="C180" s="167" t="s">
        <v>255</v>
      </c>
      <c r="D180" s="167" t="s">
        <v>554</v>
      </c>
      <c r="E180" s="168">
        <v>207000</v>
      </c>
      <c r="F180" s="168">
        <v>957000</v>
      </c>
      <c r="G180" s="168">
        <v>957000</v>
      </c>
      <c r="H180" s="168">
        <v>0</v>
      </c>
      <c r="I180" s="168">
        <v>0</v>
      </c>
      <c r="J180" s="168">
        <v>0</v>
      </c>
      <c r="K180" s="168">
        <v>930800</v>
      </c>
      <c r="L180" s="168">
        <v>199950</v>
      </c>
      <c r="M180" s="168">
        <v>26200</v>
      </c>
      <c r="N180" s="168">
        <v>26200</v>
      </c>
    </row>
    <row r="181" spans="1:14" x14ac:dyDescent="0.25">
      <c r="A181" s="167" t="s">
        <v>557</v>
      </c>
      <c r="B181" s="167" t="s">
        <v>286</v>
      </c>
      <c r="C181" s="167" t="s">
        <v>287</v>
      </c>
      <c r="D181" s="167" t="s">
        <v>556</v>
      </c>
      <c r="E181" s="168">
        <v>7930796</v>
      </c>
      <c r="F181" s="168">
        <v>7930796</v>
      </c>
      <c r="G181" s="168">
        <v>7930796</v>
      </c>
      <c r="H181" s="168">
        <v>1020000</v>
      </c>
      <c r="I181" s="168">
        <v>0</v>
      </c>
      <c r="J181" s="168">
        <v>0</v>
      </c>
      <c r="K181" s="168">
        <v>4563660</v>
      </c>
      <c r="L181" s="168">
        <v>3341080</v>
      </c>
      <c r="M181" s="168">
        <v>2347136</v>
      </c>
      <c r="N181" s="168">
        <v>2347136</v>
      </c>
    </row>
    <row r="182" spans="1:14" x14ac:dyDescent="0.25">
      <c r="A182" s="167" t="s">
        <v>557</v>
      </c>
      <c r="B182" s="167" t="s">
        <v>288</v>
      </c>
      <c r="C182" s="167" t="s">
        <v>289</v>
      </c>
      <c r="D182" s="167" t="s">
        <v>556</v>
      </c>
      <c r="E182" s="168">
        <v>7930796</v>
      </c>
      <c r="F182" s="168">
        <v>7930796</v>
      </c>
      <c r="G182" s="168">
        <v>7930796</v>
      </c>
      <c r="H182" s="168">
        <v>1020000</v>
      </c>
      <c r="I182" s="168">
        <v>0</v>
      </c>
      <c r="J182" s="168">
        <v>0</v>
      </c>
      <c r="K182" s="168">
        <v>4563660</v>
      </c>
      <c r="L182" s="168">
        <v>3341080</v>
      </c>
      <c r="M182" s="168">
        <v>2347136</v>
      </c>
      <c r="N182" s="168">
        <v>2347136</v>
      </c>
    </row>
    <row r="183" spans="1:14" x14ac:dyDescent="0.25">
      <c r="A183" s="167" t="s">
        <v>557</v>
      </c>
      <c r="B183" s="167" t="s">
        <v>411</v>
      </c>
      <c r="C183" s="167" t="s">
        <v>514</v>
      </c>
      <c r="D183" s="167" t="s">
        <v>556</v>
      </c>
      <c r="E183" s="168">
        <v>0</v>
      </c>
      <c r="F183" s="168">
        <v>200000</v>
      </c>
      <c r="G183" s="168">
        <v>200000</v>
      </c>
      <c r="H183" s="168">
        <v>0</v>
      </c>
      <c r="I183" s="168">
        <v>0</v>
      </c>
      <c r="J183" s="168">
        <v>0</v>
      </c>
      <c r="K183" s="168">
        <v>0</v>
      </c>
      <c r="L183" s="168">
        <v>0</v>
      </c>
      <c r="M183" s="168">
        <v>200000</v>
      </c>
      <c r="N183" s="168">
        <v>200000</v>
      </c>
    </row>
    <row r="184" spans="1:14" x14ac:dyDescent="0.25">
      <c r="A184" s="167" t="s">
        <v>557</v>
      </c>
      <c r="B184" s="167" t="s">
        <v>292</v>
      </c>
      <c r="C184" s="167" t="s">
        <v>293</v>
      </c>
      <c r="D184" s="167" t="s">
        <v>556</v>
      </c>
      <c r="E184" s="168">
        <v>24064</v>
      </c>
      <c r="F184" s="168">
        <v>1224064</v>
      </c>
      <c r="G184" s="168">
        <v>1224064</v>
      </c>
      <c r="H184" s="168">
        <v>1020000</v>
      </c>
      <c r="I184" s="168">
        <v>0</v>
      </c>
      <c r="J184" s="168">
        <v>0</v>
      </c>
      <c r="K184" s="168">
        <v>0</v>
      </c>
      <c r="L184" s="168">
        <v>0</v>
      </c>
      <c r="M184" s="168">
        <v>204064</v>
      </c>
      <c r="N184" s="168">
        <v>204064</v>
      </c>
    </row>
    <row r="185" spans="1:14" x14ac:dyDescent="0.25">
      <c r="A185" s="167" t="s">
        <v>557</v>
      </c>
      <c r="B185" s="167" t="s">
        <v>294</v>
      </c>
      <c r="C185" s="167" t="s">
        <v>295</v>
      </c>
      <c r="D185" s="167" t="s">
        <v>556</v>
      </c>
      <c r="E185" s="168">
        <v>388018</v>
      </c>
      <c r="F185" s="168">
        <v>1788018</v>
      </c>
      <c r="G185" s="168">
        <v>1788018</v>
      </c>
      <c r="H185" s="168">
        <v>0</v>
      </c>
      <c r="I185" s="168">
        <v>0</v>
      </c>
      <c r="J185" s="168">
        <v>0</v>
      </c>
      <c r="K185" s="168">
        <v>1573735</v>
      </c>
      <c r="L185" s="168">
        <v>351155</v>
      </c>
      <c r="M185" s="168">
        <v>214283</v>
      </c>
      <c r="N185" s="168">
        <v>214283</v>
      </c>
    </row>
    <row r="186" spans="1:14" x14ac:dyDescent="0.25">
      <c r="A186" s="167" t="s">
        <v>557</v>
      </c>
      <c r="B186" s="167" t="s">
        <v>296</v>
      </c>
      <c r="C186" s="167" t="s">
        <v>297</v>
      </c>
      <c r="D186" s="167" t="s">
        <v>556</v>
      </c>
      <c r="E186" s="168">
        <v>1178714</v>
      </c>
      <c r="F186" s="168">
        <v>1178714</v>
      </c>
      <c r="G186" s="168">
        <v>1178714</v>
      </c>
      <c r="H186" s="168">
        <v>0</v>
      </c>
      <c r="I186" s="168">
        <v>0</v>
      </c>
      <c r="J186" s="168">
        <v>0</v>
      </c>
      <c r="K186" s="168">
        <v>0</v>
      </c>
      <c r="L186" s="168">
        <v>0</v>
      </c>
      <c r="M186" s="168">
        <v>1178714</v>
      </c>
      <c r="N186" s="168">
        <v>1178714</v>
      </c>
    </row>
    <row r="187" spans="1:14" x14ac:dyDescent="0.25">
      <c r="A187" s="167" t="s">
        <v>557</v>
      </c>
      <c r="B187" s="167" t="s">
        <v>300</v>
      </c>
      <c r="C187" s="167" t="s">
        <v>301</v>
      </c>
      <c r="D187" s="167" t="s">
        <v>556</v>
      </c>
      <c r="E187" s="168">
        <v>2809000</v>
      </c>
      <c r="F187" s="168">
        <v>1409000</v>
      </c>
      <c r="G187" s="168">
        <v>1409000</v>
      </c>
      <c r="H187" s="168">
        <v>0</v>
      </c>
      <c r="I187" s="168">
        <v>0</v>
      </c>
      <c r="J187" s="168">
        <v>0</v>
      </c>
      <c r="K187" s="168">
        <v>1369925</v>
      </c>
      <c r="L187" s="168">
        <v>1369925</v>
      </c>
      <c r="M187" s="168">
        <v>39075</v>
      </c>
      <c r="N187" s="168">
        <v>39075</v>
      </c>
    </row>
    <row r="188" spans="1:14" x14ac:dyDescent="0.25">
      <c r="A188" s="167" t="s">
        <v>557</v>
      </c>
      <c r="B188" s="167" t="s">
        <v>302</v>
      </c>
      <c r="C188" s="167" t="s">
        <v>303</v>
      </c>
      <c r="D188" s="167" t="s">
        <v>556</v>
      </c>
      <c r="E188" s="168">
        <v>3531000</v>
      </c>
      <c r="F188" s="168">
        <v>2131000</v>
      </c>
      <c r="G188" s="168">
        <v>2131000</v>
      </c>
      <c r="H188" s="168">
        <v>0</v>
      </c>
      <c r="I188" s="168">
        <v>0</v>
      </c>
      <c r="J188" s="168">
        <v>0</v>
      </c>
      <c r="K188" s="168">
        <v>1620000</v>
      </c>
      <c r="L188" s="168">
        <v>1620000</v>
      </c>
      <c r="M188" s="168">
        <v>511000</v>
      </c>
      <c r="N188" s="168">
        <v>511000</v>
      </c>
    </row>
    <row r="189" spans="1:14" x14ac:dyDescent="0.25">
      <c r="A189" s="167" t="s">
        <v>557</v>
      </c>
      <c r="B189" s="167" t="s">
        <v>256</v>
      </c>
      <c r="C189" s="167" t="s">
        <v>257</v>
      </c>
      <c r="D189" s="167" t="s">
        <v>554</v>
      </c>
      <c r="E189" s="168">
        <v>43619000</v>
      </c>
      <c r="F189" s="168">
        <v>31333416.670000002</v>
      </c>
      <c r="G189" s="168">
        <v>31333416.670000002</v>
      </c>
      <c r="H189" s="168">
        <v>0</v>
      </c>
      <c r="I189" s="168">
        <v>146386.10999999999</v>
      </c>
      <c r="J189" s="168">
        <v>0</v>
      </c>
      <c r="K189" s="168">
        <v>7917586.8899999997</v>
      </c>
      <c r="L189" s="168">
        <v>7917586.8899999997</v>
      </c>
      <c r="M189" s="168">
        <v>23269443.670000002</v>
      </c>
      <c r="N189" s="168">
        <v>23269443.670000002</v>
      </c>
    </row>
    <row r="190" spans="1:14" x14ac:dyDescent="0.25">
      <c r="A190" s="167" t="s">
        <v>557</v>
      </c>
      <c r="B190" s="167" t="s">
        <v>258</v>
      </c>
      <c r="C190" s="167" t="s">
        <v>259</v>
      </c>
      <c r="D190" s="167" t="s">
        <v>554</v>
      </c>
      <c r="E190" s="168">
        <v>5076000</v>
      </c>
      <c r="F190" s="168">
        <v>5840416.6699999999</v>
      </c>
      <c r="G190" s="168">
        <v>5840416.6699999999</v>
      </c>
      <c r="H190" s="168">
        <v>0</v>
      </c>
      <c r="I190" s="168">
        <v>0</v>
      </c>
      <c r="J190" s="168">
        <v>0</v>
      </c>
      <c r="K190" s="168">
        <v>4785629</v>
      </c>
      <c r="L190" s="168">
        <v>4785629</v>
      </c>
      <c r="M190" s="168">
        <v>1054787.67</v>
      </c>
      <c r="N190" s="168">
        <v>1054787.67</v>
      </c>
    </row>
    <row r="191" spans="1:14" x14ac:dyDescent="0.25">
      <c r="A191" s="167" t="s">
        <v>557</v>
      </c>
      <c r="B191" s="167" t="s">
        <v>319</v>
      </c>
      <c r="C191" s="167" t="s">
        <v>265</v>
      </c>
      <c r="D191" s="167" t="s">
        <v>554</v>
      </c>
      <c r="E191" s="168">
        <v>3547000</v>
      </c>
      <c r="F191" s="168">
        <v>3852856.27</v>
      </c>
      <c r="G191" s="168">
        <v>3852856.27</v>
      </c>
      <c r="H191" s="168">
        <v>0</v>
      </c>
      <c r="I191" s="168">
        <v>0</v>
      </c>
      <c r="J191" s="168">
        <v>0</v>
      </c>
      <c r="K191" s="168">
        <v>3344177</v>
      </c>
      <c r="L191" s="168">
        <v>3344177</v>
      </c>
      <c r="M191" s="168">
        <v>508679.27</v>
      </c>
      <c r="N191" s="168">
        <v>508679.27</v>
      </c>
    </row>
    <row r="192" spans="1:14" x14ac:dyDescent="0.25">
      <c r="A192" s="167" t="s">
        <v>557</v>
      </c>
      <c r="B192" s="167" t="s">
        <v>320</v>
      </c>
      <c r="C192" s="167" t="s">
        <v>267</v>
      </c>
      <c r="D192" s="167" t="s">
        <v>554</v>
      </c>
      <c r="E192" s="168">
        <v>1529000</v>
      </c>
      <c r="F192" s="168">
        <v>1987560.4</v>
      </c>
      <c r="G192" s="168">
        <v>1987560.4</v>
      </c>
      <c r="H192" s="168">
        <v>0</v>
      </c>
      <c r="I192" s="168">
        <v>0</v>
      </c>
      <c r="J192" s="168">
        <v>0</v>
      </c>
      <c r="K192" s="168">
        <v>1441452</v>
      </c>
      <c r="L192" s="168">
        <v>1441452</v>
      </c>
      <c r="M192" s="168">
        <v>546108.4</v>
      </c>
      <c r="N192" s="168">
        <v>546108.4</v>
      </c>
    </row>
    <row r="193" spans="1:14" x14ac:dyDescent="0.25">
      <c r="A193" s="167" t="s">
        <v>557</v>
      </c>
      <c r="B193" s="167" t="s">
        <v>268</v>
      </c>
      <c r="C193" s="167" t="s">
        <v>269</v>
      </c>
      <c r="D193" s="167" t="s">
        <v>554</v>
      </c>
      <c r="E193" s="168">
        <v>33543000</v>
      </c>
      <c r="F193" s="168">
        <v>21743000</v>
      </c>
      <c r="G193" s="168">
        <v>21743000</v>
      </c>
      <c r="H193" s="168">
        <v>0</v>
      </c>
      <c r="I193" s="168">
        <v>0</v>
      </c>
      <c r="J193" s="168">
        <v>0</v>
      </c>
      <c r="K193" s="168">
        <v>1028344</v>
      </c>
      <c r="L193" s="168">
        <v>1028344</v>
      </c>
      <c r="M193" s="168">
        <v>20714656</v>
      </c>
      <c r="N193" s="168">
        <v>20714656</v>
      </c>
    </row>
    <row r="194" spans="1:14" x14ac:dyDescent="0.25">
      <c r="A194" s="167" t="s">
        <v>557</v>
      </c>
      <c r="B194" s="167" t="s">
        <v>270</v>
      </c>
      <c r="C194" s="167" t="s">
        <v>271</v>
      </c>
      <c r="D194" s="167" t="s">
        <v>554</v>
      </c>
      <c r="E194" s="168">
        <v>27543000</v>
      </c>
      <c r="F194" s="168">
        <v>15743000</v>
      </c>
      <c r="G194" s="168">
        <v>15743000</v>
      </c>
      <c r="H194" s="168">
        <v>0</v>
      </c>
      <c r="I194" s="168">
        <v>0</v>
      </c>
      <c r="J194" s="168">
        <v>0</v>
      </c>
      <c r="K194" s="168">
        <v>0</v>
      </c>
      <c r="L194" s="168">
        <v>0</v>
      </c>
      <c r="M194" s="168">
        <v>15743000</v>
      </c>
      <c r="N194" s="168">
        <v>15743000</v>
      </c>
    </row>
    <row r="195" spans="1:14" x14ac:dyDescent="0.25">
      <c r="A195" s="167" t="s">
        <v>557</v>
      </c>
      <c r="B195" s="167" t="s">
        <v>272</v>
      </c>
      <c r="C195" s="167" t="s">
        <v>273</v>
      </c>
      <c r="D195" s="167" t="s">
        <v>554</v>
      </c>
      <c r="E195" s="168">
        <v>6000000</v>
      </c>
      <c r="F195" s="168">
        <v>6000000</v>
      </c>
      <c r="G195" s="168">
        <v>6000000</v>
      </c>
      <c r="H195" s="168">
        <v>0</v>
      </c>
      <c r="I195" s="168">
        <v>0</v>
      </c>
      <c r="J195" s="168">
        <v>0</v>
      </c>
      <c r="K195" s="168">
        <v>1028344</v>
      </c>
      <c r="L195" s="168">
        <v>1028344</v>
      </c>
      <c r="M195" s="168">
        <v>4971656</v>
      </c>
      <c r="N195" s="168">
        <v>4971656</v>
      </c>
    </row>
    <row r="196" spans="1:14" x14ac:dyDescent="0.25">
      <c r="A196" s="167" t="s">
        <v>557</v>
      </c>
      <c r="B196" s="167" t="s">
        <v>274</v>
      </c>
      <c r="C196" s="167" t="s">
        <v>275</v>
      </c>
      <c r="D196" s="167" t="s">
        <v>554</v>
      </c>
      <c r="E196" s="168">
        <v>5000000</v>
      </c>
      <c r="F196" s="168">
        <v>3750000</v>
      </c>
      <c r="G196" s="168">
        <v>3750000</v>
      </c>
      <c r="H196" s="168">
        <v>0</v>
      </c>
      <c r="I196" s="168">
        <v>146386.10999999999</v>
      </c>
      <c r="J196" s="168">
        <v>0</v>
      </c>
      <c r="K196" s="168">
        <v>2103613.89</v>
      </c>
      <c r="L196" s="168">
        <v>2103613.89</v>
      </c>
      <c r="M196" s="168">
        <v>1500000</v>
      </c>
      <c r="N196" s="168">
        <v>1500000</v>
      </c>
    </row>
    <row r="197" spans="1:14" x14ac:dyDescent="0.25">
      <c r="A197" s="167" t="s">
        <v>557</v>
      </c>
      <c r="B197" s="167" t="s">
        <v>276</v>
      </c>
      <c r="C197" s="167" t="s">
        <v>277</v>
      </c>
      <c r="D197" s="167" t="s">
        <v>554</v>
      </c>
      <c r="E197" s="168">
        <v>5000000</v>
      </c>
      <c r="F197" s="168">
        <v>3750000</v>
      </c>
      <c r="G197" s="168">
        <v>3750000</v>
      </c>
      <c r="H197" s="168">
        <v>0</v>
      </c>
      <c r="I197" s="168">
        <v>146386.10999999999</v>
      </c>
      <c r="J197" s="168">
        <v>0</v>
      </c>
      <c r="K197" s="168">
        <v>2103613.89</v>
      </c>
      <c r="L197" s="168">
        <v>2103613.89</v>
      </c>
      <c r="M197" s="168">
        <v>1500000</v>
      </c>
      <c r="N197" s="168">
        <v>1500000</v>
      </c>
    </row>
    <row r="198" spans="1:14" x14ac:dyDescent="0.25">
      <c r="A198" s="167" t="s">
        <v>557</v>
      </c>
      <c r="B198" s="167" t="s">
        <v>602</v>
      </c>
      <c r="C198" s="167" t="s">
        <v>603</v>
      </c>
      <c r="D198" s="167" t="s">
        <v>554</v>
      </c>
      <c r="E198" s="168">
        <v>0</v>
      </c>
      <c r="F198" s="168">
        <v>2798287</v>
      </c>
      <c r="G198" s="168">
        <v>983287</v>
      </c>
      <c r="H198" s="168">
        <v>0</v>
      </c>
      <c r="I198" s="168">
        <v>0</v>
      </c>
      <c r="J198" s="168">
        <v>0</v>
      </c>
      <c r="K198" s="168">
        <v>0</v>
      </c>
      <c r="L198" s="168">
        <v>0</v>
      </c>
      <c r="M198" s="168">
        <v>2798287</v>
      </c>
      <c r="N198" s="168">
        <v>983287</v>
      </c>
    </row>
    <row r="199" spans="1:14" x14ac:dyDescent="0.25">
      <c r="A199" s="167" t="s">
        <v>557</v>
      </c>
      <c r="B199" s="167" t="s">
        <v>600</v>
      </c>
      <c r="C199" s="167" t="s">
        <v>601</v>
      </c>
      <c r="D199" s="167" t="s">
        <v>554</v>
      </c>
      <c r="E199" s="168">
        <v>0</v>
      </c>
      <c r="F199" s="168">
        <v>2798287</v>
      </c>
      <c r="G199" s="168">
        <v>983287</v>
      </c>
      <c r="H199" s="168">
        <v>0</v>
      </c>
      <c r="I199" s="168">
        <v>0</v>
      </c>
      <c r="J199" s="168">
        <v>0</v>
      </c>
      <c r="K199" s="168">
        <v>0</v>
      </c>
      <c r="L199" s="168">
        <v>0</v>
      </c>
      <c r="M199" s="168">
        <v>2798287</v>
      </c>
      <c r="N199" s="168">
        <v>983287</v>
      </c>
    </row>
    <row r="200" spans="1:14" x14ac:dyDescent="0.25">
      <c r="A200" s="167" t="s">
        <v>557</v>
      </c>
      <c r="B200" s="167" t="s">
        <v>598</v>
      </c>
      <c r="C200" s="167" t="s">
        <v>599</v>
      </c>
      <c r="D200" s="167" t="s">
        <v>554</v>
      </c>
      <c r="E200" s="168">
        <v>0</v>
      </c>
      <c r="F200" s="168">
        <v>2609541</v>
      </c>
      <c r="G200" s="168">
        <v>919541</v>
      </c>
      <c r="H200" s="168">
        <v>0</v>
      </c>
      <c r="I200" s="168">
        <v>0</v>
      </c>
      <c r="J200" s="168">
        <v>0</v>
      </c>
      <c r="K200" s="168">
        <v>0</v>
      </c>
      <c r="L200" s="168">
        <v>0</v>
      </c>
      <c r="M200" s="168">
        <v>2609541</v>
      </c>
      <c r="N200" s="168">
        <v>919541</v>
      </c>
    </row>
    <row r="201" spans="1:14" x14ac:dyDescent="0.25">
      <c r="A201" s="167" t="s">
        <v>557</v>
      </c>
      <c r="B201" s="167" t="s">
        <v>598</v>
      </c>
      <c r="C201" s="167" t="s">
        <v>599</v>
      </c>
      <c r="D201" s="167" t="s">
        <v>556</v>
      </c>
      <c r="E201" s="168">
        <v>0</v>
      </c>
      <c r="F201" s="168">
        <v>188746</v>
      </c>
      <c r="G201" s="168">
        <v>63746</v>
      </c>
      <c r="H201" s="168">
        <v>0</v>
      </c>
      <c r="I201" s="168">
        <v>0</v>
      </c>
      <c r="J201" s="168">
        <v>0</v>
      </c>
      <c r="K201" s="168">
        <v>0</v>
      </c>
      <c r="L201" s="168">
        <v>0</v>
      </c>
      <c r="M201" s="168">
        <v>188746</v>
      </c>
      <c r="N201" s="168">
        <v>63746</v>
      </c>
    </row>
    <row r="202" spans="1:14" x14ac:dyDescent="0.25">
      <c r="A202" s="169" t="s">
        <v>557</v>
      </c>
      <c r="B202" s="169"/>
      <c r="C202" s="169"/>
      <c r="D202" s="169"/>
      <c r="E202" s="170"/>
      <c r="F202" s="170">
        <v>4721580704</v>
      </c>
      <c r="G202" s="170">
        <v>4714320704</v>
      </c>
      <c r="H202" s="170">
        <v>4080000</v>
      </c>
      <c r="I202" s="170">
        <v>44987402</v>
      </c>
      <c r="J202" s="170">
        <v>0</v>
      </c>
      <c r="K202" s="170">
        <v>4046692747.8800001</v>
      </c>
      <c r="L202" s="170">
        <v>3940328013.2399998</v>
      </c>
      <c r="M202" s="170">
        <v>625820554.12</v>
      </c>
      <c r="N202" s="170">
        <v>618560554.12</v>
      </c>
    </row>
    <row r="203" spans="1:14" x14ac:dyDescent="0.25">
      <c r="A203" s="167">
        <v>214781</v>
      </c>
      <c r="B203" s="167"/>
      <c r="C203" s="167"/>
      <c r="D203" s="167" t="s">
        <v>554</v>
      </c>
      <c r="E203" s="168">
        <v>9855555285</v>
      </c>
      <c r="F203" s="168">
        <v>10084688285</v>
      </c>
      <c r="G203" s="168">
        <v>9990175660</v>
      </c>
      <c r="H203" s="168">
        <v>6500000</v>
      </c>
      <c r="I203" s="168">
        <v>136592267.66</v>
      </c>
      <c r="J203" s="168">
        <v>0</v>
      </c>
      <c r="K203" s="168">
        <v>8731089979.3500004</v>
      </c>
      <c r="L203" s="168">
        <v>8556214624.6000004</v>
      </c>
      <c r="M203" s="168">
        <v>1210506037.99</v>
      </c>
      <c r="N203" s="168">
        <v>1115993412.99</v>
      </c>
    </row>
    <row r="204" spans="1:14" x14ac:dyDescent="0.25">
      <c r="A204" s="167" t="s">
        <v>558</v>
      </c>
      <c r="B204" s="167" t="s">
        <v>92</v>
      </c>
      <c r="C204" s="167" t="s">
        <v>93</v>
      </c>
      <c r="D204" s="167" t="s">
        <v>554</v>
      </c>
      <c r="E204" s="168">
        <v>8345277000</v>
      </c>
      <c r="F204" s="168">
        <v>8228953306</v>
      </c>
      <c r="G204" s="168">
        <v>8228953306</v>
      </c>
      <c r="H204" s="168">
        <v>0</v>
      </c>
      <c r="I204" s="168">
        <v>0</v>
      </c>
      <c r="J204" s="168">
        <v>0</v>
      </c>
      <c r="K204" s="168">
        <v>7527613948.8900003</v>
      </c>
      <c r="L204" s="168">
        <v>7527613948.8900003</v>
      </c>
      <c r="M204" s="168">
        <v>701339357.11000001</v>
      </c>
      <c r="N204" s="168">
        <v>701339357.11000001</v>
      </c>
    </row>
    <row r="205" spans="1:14" x14ac:dyDescent="0.25">
      <c r="A205" s="167" t="s">
        <v>558</v>
      </c>
      <c r="B205" s="167" t="s">
        <v>94</v>
      </c>
      <c r="C205" s="167" t="s">
        <v>95</v>
      </c>
      <c r="D205" s="167" t="s">
        <v>554</v>
      </c>
      <c r="E205" s="168">
        <v>2874240000</v>
      </c>
      <c r="F205" s="168">
        <v>2847023891</v>
      </c>
      <c r="G205" s="168">
        <v>2847023891</v>
      </c>
      <c r="H205" s="168">
        <v>0</v>
      </c>
      <c r="I205" s="168">
        <v>0</v>
      </c>
      <c r="J205" s="168">
        <v>0</v>
      </c>
      <c r="K205" s="168">
        <v>2582325014</v>
      </c>
      <c r="L205" s="168">
        <v>2582325014</v>
      </c>
      <c r="M205" s="168">
        <v>264698877</v>
      </c>
      <c r="N205" s="168">
        <v>264698877</v>
      </c>
    </row>
    <row r="206" spans="1:14" x14ac:dyDescent="0.25">
      <c r="A206" s="167" t="s">
        <v>558</v>
      </c>
      <c r="B206" s="167" t="s">
        <v>96</v>
      </c>
      <c r="C206" s="167" t="s">
        <v>97</v>
      </c>
      <c r="D206" s="167" t="s">
        <v>554</v>
      </c>
      <c r="E206" s="168">
        <v>2869240000</v>
      </c>
      <c r="F206" s="168">
        <v>2792124891</v>
      </c>
      <c r="G206" s="168">
        <v>2792124891</v>
      </c>
      <c r="H206" s="168">
        <v>0</v>
      </c>
      <c r="I206" s="168">
        <v>0</v>
      </c>
      <c r="J206" s="168">
        <v>0</v>
      </c>
      <c r="K206" s="168">
        <v>2580765664</v>
      </c>
      <c r="L206" s="168">
        <v>2580765664</v>
      </c>
      <c r="M206" s="168">
        <v>211359227</v>
      </c>
      <c r="N206" s="168">
        <v>211359227</v>
      </c>
    </row>
    <row r="207" spans="1:14" x14ac:dyDescent="0.25">
      <c r="A207" s="167" t="s">
        <v>558</v>
      </c>
      <c r="B207" s="167" t="s">
        <v>96</v>
      </c>
      <c r="C207" s="167" t="s">
        <v>97</v>
      </c>
      <c r="D207" s="167" t="s">
        <v>556</v>
      </c>
      <c r="E207" s="168">
        <v>0</v>
      </c>
      <c r="F207" s="168">
        <v>49899000</v>
      </c>
      <c r="G207" s="168">
        <v>49899000</v>
      </c>
      <c r="H207" s="168">
        <v>0</v>
      </c>
      <c r="I207" s="168">
        <v>0</v>
      </c>
      <c r="J207" s="168">
        <v>0</v>
      </c>
      <c r="K207" s="168">
        <v>0</v>
      </c>
      <c r="L207" s="168">
        <v>0</v>
      </c>
      <c r="M207" s="168">
        <v>49899000</v>
      </c>
      <c r="N207" s="168">
        <v>49899000</v>
      </c>
    </row>
    <row r="208" spans="1:14" x14ac:dyDescent="0.25">
      <c r="A208" s="167" t="s">
        <v>558</v>
      </c>
      <c r="B208" s="167" t="s">
        <v>321</v>
      </c>
      <c r="C208" s="167" t="s">
        <v>322</v>
      </c>
      <c r="D208" s="167" t="s">
        <v>554</v>
      </c>
      <c r="E208" s="168">
        <v>5000000</v>
      </c>
      <c r="F208" s="168">
        <v>5000000</v>
      </c>
      <c r="G208" s="168">
        <v>5000000</v>
      </c>
      <c r="H208" s="168">
        <v>0</v>
      </c>
      <c r="I208" s="168">
        <v>0</v>
      </c>
      <c r="J208" s="168">
        <v>0</v>
      </c>
      <c r="K208" s="168">
        <v>1559350</v>
      </c>
      <c r="L208" s="168">
        <v>1559350</v>
      </c>
      <c r="M208" s="168">
        <v>3440650</v>
      </c>
      <c r="N208" s="168">
        <v>3440650</v>
      </c>
    </row>
    <row r="209" spans="1:14" x14ac:dyDescent="0.25">
      <c r="A209" s="167" t="s">
        <v>558</v>
      </c>
      <c r="B209" s="167" t="s">
        <v>98</v>
      </c>
      <c r="C209" s="167" t="s">
        <v>99</v>
      </c>
      <c r="D209" s="167" t="s">
        <v>554</v>
      </c>
      <c r="E209" s="168">
        <v>14000000</v>
      </c>
      <c r="F209" s="168">
        <v>21000000</v>
      </c>
      <c r="G209" s="168">
        <v>21000000</v>
      </c>
      <c r="H209" s="168">
        <v>0</v>
      </c>
      <c r="I209" s="168">
        <v>0</v>
      </c>
      <c r="J209" s="168">
        <v>0</v>
      </c>
      <c r="K209" s="168">
        <v>11203690.119999999</v>
      </c>
      <c r="L209" s="168">
        <v>11203690.119999999</v>
      </c>
      <c r="M209" s="168">
        <v>9796309.8800000008</v>
      </c>
      <c r="N209" s="168">
        <v>9796309.8800000008</v>
      </c>
    </row>
    <row r="210" spans="1:14" x14ac:dyDescent="0.25">
      <c r="A210" s="167" t="s">
        <v>558</v>
      </c>
      <c r="B210" s="167" t="s">
        <v>100</v>
      </c>
      <c r="C210" s="167" t="s">
        <v>101</v>
      </c>
      <c r="D210" s="167" t="s">
        <v>554</v>
      </c>
      <c r="E210" s="168">
        <v>14000000</v>
      </c>
      <c r="F210" s="168">
        <v>21000000</v>
      </c>
      <c r="G210" s="168">
        <v>21000000</v>
      </c>
      <c r="H210" s="168">
        <v>0</v>
      </c>
      <c r="I210" s="168">
        <v>0</v>
      </c>
      <c r="J210" s="168">
        <v>0</v>
      </c>
      <c r="K210" s="168">
        <v>11203690.119999999</v>
      </c>
      <c r="L210" s="168">
        <v>11203690.119999999</v>
      </c>
      <c r="M210" s="168">
        <v>9796309.8800000008</v>
      </c>
      <c r="N210" s="168">
        <v>9796309.8800000008</v>
      </c>
    </row>
    <row r="211" spans="1:14" x14ac:dyDescent="0.25">
      <c r="A211" s="167" t="s">
        <v>558</v>
      </c>
      <c r="B211" s="167" t="s">
        <v>102</v>
      </c>
      <c r="C211" s="167" t="s">
        <v>103</v>
      </c>
      <c r="D211" s="167" t="s">
        <v>554</v>
      </c>
      <c r="E211" s="168">
        <v>4193717000</v>
      </c>
      <c r="F211" s="168">
        <v>4111464475</v>
      </c>
      <c r="G211" s="168">
        <v>4111464475</v>
      </c>
      <c r="H211" s="168">
        <v>0</v>
      </c>
      <c r="I211" s="168">
        <v>0</v>
      </c>
      <c r="J211" s="168">
        <v>0</v>
      </c>
      <c r="K211" s="168">
        <v>3813863345.77</v>
      </c>
      <c r="L211" s="168">
        <v>3813863345.77</v>
      </c>
      <c r="M211" s="168">
        <v>297601129.23000002</v>
      </c>
      <c r="N211" s="168">
        <v>297601129.23000002</v>
      </c>
    </row>
    <row r="212" spans="1:14" x14ac:dyDescent="0.25">
      <c r="A212" s="167" t="s">
        <v>558</v>
      </c>
      <c r="B212" s="167" t="s">
        <v>104</v>
      </c>
      <c r="C212" s="167" t="s">
        <v>105</v>
      </c>
      <c r="D212" s="167" t="s">
        <v>554</v>
      </c>
      <c r="E212" s="168">
        <v>746503000</v>
      </c>
      <c r="F212" s="168">
        <v>718870521</v>
      </c>
      <c r="G212" s="168">
        <v>718870521</v>
      </c>
      <c r="H212" s="168">
        <v>0</v>
      </c>
      <c r="I212" s="168">
        <v>0</v>
      </c>
      <c r="J212" s="168">
        <v>0</v>
      </c>
      <c r="K212" s="168">
        <v>692295481.13999999</v>
      </c>
      <c r="L212" s="168">
        <v>692295481.13999999</v>
      </c>
      <c r="M212" s="168">
        <v>26575039.859999999</v>
      </c>
      <c r="N212" s="168">
        <v>26575039.859999999</v>
      </c>
    </row>
    <row r="213" spans="1:14" x14ac:dyDescent="0.25">
      <c r="A213" s="167" t="s">
        <v>558</v>
      </c>
      <c r="B213" s="167" t="s">
        <v>104</v>
      </c>
      <c r="C213" s="167" t="s">
        <v>105</v>
      </c>
      <c r="D213" s="167" t="s">
        <v>556</v>
      </c>
      <c r="E213" s="168">
        <v>0</v>
      </c>
      <c r="F213" s="168">
        <v>3407000</v>
      </c>
      <c r="G213" s="168">
        <v>3407000</v>
      </c>
      <c r="H213" s="168">
        <v>0</v>
      </c>
      <c r="I213" s="168">
        <v>0</v>
      </c>
      <c r="J213" s="168">
        <v>0</v>
      </c>
      <c r="K213" s="168">
        <v>0</v>
      </c>
      <c r="L213" s="168">
        <v>0</v>
      </c>
      <c r="M213" s="168">
        <v>3407000</v>
      </c>
      <c r="N213" s="168">
        <v>3407000</v>
      </c>
    </row>
    <row r="214" spans="1:14" x14ac:dyDescent="0.25">
      <c r="A214" s="167" t="s">
        <v>558</v>
      </c>
      <c r="B214" s="167" t="s">
        <v>106</v>
      </c>
      <c r="C214" s="167" t="s">
        <v>107</v>
      </c>
      <c r="D214" s="167" t="s">
        <v>554</v>
      </c>
      <c r="E214" s="168">
        <v>1913464000</v>
      </c>
      <c r="F214" s="168">
        <v>1837645410</v>
      </c>
      <c r="G214" s="168">
        <v>1837645410</v>
      </c>
      <c r="H214" s="168">
        <v>0</v>
      </c>
      <c r="I214" s="168">
        <v>0</v>
      </c>
      <c r="J214" s="168">
        <v>0</v>
      </c>
      <c r="K214" s="168">
        <v>1701589847.8099999</v>
      </c>
      <c r="L214" s="168">
        <v>1701589847.8099999</v>
      </c>
      <c r="M214" s="168">
        <v>136055562.19</v>
      </c>
      <c r="N214" s="168">
        <v>136055562.19</v>
      </c>
    </row>
    <row r="215" spans="1:14" x14ac:dyDescent="0.25">
      <c r="A215" s="167" t="s">
        <v>558</v>
      </c>
      <c r="B215" s="167" t="s">
        <v>106</v>
      </c>
      <c r="C215" s="167" t="s">
        <v>107</v>
      </c>
      <c r="D215" s="167" t="s">
        <v>556</v>
      </c>
      <c r="E215" s="168">
        <v>0</v>
      </c>
      <c r="F215" s="168">
        <v>33084000</v>
      </c>
      <c r="G215" s="168">
        <v>33084000</v>
      </c>
      <c r="H215" s="168">
        <v>0</v>
      </c>
      <c r="I215" s="168">
        <v>0</v>
      </c>
      <c r="J215" s="168">
        <v>0</v>
      </c>
      <c r="K215" s="168">
        <v>0</v>
      </c>
      <c r="L215" s="168">
        <v>0</v>
      </c>
      <c r="M215" s="168">
        <v>33084000</v>
      </c>
      <c r="N215" s="168">
        <v>33084000</v>
      </c>
    </row>
    <row r="216" spans="1:14" x14ac:dyDescent="0.25">
      <c r="A216" s="167" t="s">
        <v>558</v>
      </c>
      <c r="B216" s="167" t="s">
        <v>112</v>
      </c>
      <c r="C216" s="167" t="s">
        <v>113</v>
      </c>
      <c r="D216" s="167" t="s">
        <v>556</v>
      </c>
      <c r="E216" s="168">
        <v>546442000</v>
      </c>
      <c r="F216" s="168">
        <v>537660196</v>
      </c>
      <c r="G216" s="168">
        <v>537660196</v>
      </c>
      <c r="H216" s="168">
        <v>0</v>
      </c>
      <c r="I216" s="168">
        <v>0</v>
      </c>
      <c r="J216" s="168">
        <v>0</v>
      </c>
      <c r="K216" s="168">
        <v>495311262.68000001</v>
      </c>
      <c r="L216" s="168">
        <v>495311262.68000001</v>
      </c>
      <c r="M216" s="168">
        <v>42348933.32</v>
      </c>
      <c r="N216" s="168">
        <v>42348933.32</v>
      </c>
    </row>
    <row r="217" spans="1:14" x14ac:dyDescent="0.25">
      <c r="A217" s="167" t="s">
        <v>558</v>
      </c>
      <c r="B217" s="167" t="s">
        <v>108</v>
      </c>
      <c r="C217" s="167" t="s">
        <v>109</v>
      </c>
      <c r="D217" s="167" t="s">
        <v>554</v>
      </c>
      <c r="E217" s="168">
        <v>458857000</v>
      </c>
      <c r="F217" s="168">
        <v>458857000</v>
      </c>
      <c r="G217" s="168">
        <v>458857000</v>
      </c>
      <c r="H217" s="168">
        <v>0</v>
      </c>
      <c r="I217" s="168">
        <v>0</v>
      </c>
      <c r="J217" s="168">
        <v>0</v>
      </c>
      <c r="K217" s="168">
        <v>439745625.14999998</v>
      </c>
      <c r="L217" s="168">
        <v>439745625.14999998</v>
      </c>
      <c r="M217" s="168">
        <v>19111374.850000001</v>
      </c>
      <c r="N217" s="168">
        <v>19111374.850000001</v>
      </c>
    </row>
    <row r="218" spans="1:14" x14ac:dyDescent="0.25">
      <c r="A218" s="167" t="s">
        <v>558</v>
      </c>
      <c r="B218" s="167" t="s">
        <v>110</v>
      </c>
      <c r="C218" s="167" t="s">
        <v>111</v>
      </c>
      <c r="D218" s="167" t="s">
        <v>554</v>
      </c>
      <c r="E218" s="168">
        <v>528451000</v>
      </c>
      <c r="F218" s="168">
        <v>514569348</v>
      </c>
      <c r="G218" s="168">
        <v>514569348</v>
      </c>
      <c r="H218" s="168">
        <v>0</v>
      </c>
      <c r="I218" s="168">
        <v>0</v>
      </c>
      <c r="J218" s="168">
        <v>0</v>
      </c>
      <c r="K218" s="168">
        <v>484921128.99000001</v>
      </c>
      <c r="L218" s="168">
        <v>484921128.99000001</v>
      </c>
      <c r="M218" s="168">
        <v>29648219.010000002</v>
      </c>
      <c r="N218" s="168">
        <v>29648219.010000002</v>
      </c>
    </row>
    <row r="219" spans="1:14" x14ac:dyDescent="0.25">
      <c r="A219" s="167" t="s">
        <v>558</v>
      </c>
      <c r="B219" s="167" t="s">
        <v>110</v>
      </c>
      <c r="C219" s="167" t="s">
        <v>111</v>
      </c>
      <c r="D219" s="167" t="s">
        <v>556</v>
      </c>
      <c r="E219" s="168">
        <v>0</v>
      </c>
      <c r="F219" s="168">
        <v>7371000</v>
      </c>
      <c r="G219" s="168">
        <v>7371000</v>
      </c>
      <c r="H219" s="168">
        <v>0</v>
      </c>
      <c r="I219" s="168">
        <v>0</v>
      </c>
      <c r="J219" s="168">
        <v>0</v>
      </c>
      <c r="K219" s="168">
        <v>0</v>
      </c>
      <c r="L219" s="168">
        <v>0</v>
      </c>
      <c r="M219" s="168">
        <v>7371000</v>
      </c>
      <c r="N219" s="168">
        <v>7371000</v>
      </c>
    </row>
    <row r="220" spans="1:14" x14ac:dyDescent="0.25">
      <c r="A220" s="167" t="s">
        <v>558</v>
      </c>
      <c r="B220" s="167" t="s">
        <v>114</v>
      </c>
      <c r="C220" s="167" t="s">
        <v>115</v>
      </c>
      <c r="D220" s="167" t="s">
        <v>554</v>
      </c>
      <c r="E220" s="168">
        <v>637214000</v>
      </c>
      <c r="F220" s="168">
        <v>630224838</v>
      </c>
      <c r="G220" s="168">
        <v>630224838</v>
      </c>
      <c r="H220" s="168">
        <v>0</v>
      </c>
      <c r="I220" s="168">
        <v>0</v>
      </c>
      <c r="J220" s="168">
        <v>0</v>
      </c>
      <c r="K220" s="168">
        <v>573757060</v>
      </c>
      <c r="L220" s="168">
        <v>573757060</v>
      </c>
      <c r="M220" s="168">
        <v>56467778</v>
      </c>
      <c r="N220" s="168">
        <v>56467778</v>
      </c>
    </row>
    <row r="221" spans="1:14" x14ac:dyDescent="0.25">
      <c r="A221" s="167" t="s">
        <v>558</v>
      </c>
      <c r="B221" s="167" t="s">
        <v>323</v>
      </c>
      <c r="C221" s="167" t="s">
        <v>579</v>
      </c>
      <c r="D221" s="167" t="s">
        <v>554</v>
      </c>
      <c r="E221" s="168">
        <v>604536000</v>
      </c>
      <c r="F221" s="168">
        <v>589232076</v>
      </c>
      <c r="G221" s="168">
        <v>589232076</v>
      </c>
      <c r="H221" s="168">
        <v>0</v>
      </c>
      <c r="I221" s="168">
        <v>0</v>
      </c>
      <c r="J221" s="168">
        <v>0</v>
      </c>
      <c r="K221" s="168">
        <v>544334623</v>
      </c>
      <c r="L221" s="168">
        <v>544334623</v>
      </c>
      <c r="M221" s="168">
        <v>44897453</v>
      </c>
      <c r="N221" s="168">
        <v>44897453</v>
      </c>
    </row>
    <row r="222" spans="1:14" x14ac:dyDescent="0.25">
      <c r="A222" s="167" t="s">
        <v>558</v>
      </c>
      <c r="B222" s="167" t="s">
        <v>323</v>
      </c>
      <c r="C222" s="167" t="s">
        <v>579</v>
      </c>
      <c r="D222" s="167" t="s">
        <v>556</v>
      </c>
      <c r="E222" s="168">
        <v>0</v>
      </c>
      <c r="F222" s="168">
        <v>8673000</v>
      </c>
      <c r="G222" s="168">
        <v>8673000</v>
      </c>
      <c r="H222" s="168">
        <v>0</v>
      </c>
      <c r="I222" s="168">
        <v>0</v>
      </c>
      <c r="J222" s="168">
        <v>0</v>
      </c>
      <c r="K222" s="168">
        <v>0</v>
      </c>
      <c r="L222" s="168">
        <v>0</v>
      </c>
      <c r="M222" s="168">
        <v>8673000</v>
      </c>
      <c r="N222" s="168">
        <v>8673000</v>
      </c>
    </row>
    <row r="223" spans="1:14" x14ac:dyDescent="0.25">
      <c r="A223" s="167" t="s">
        <v>558</v>
      </c>
      <c r="B223" s="167" t="s">
        <v>324</v>
      </c>
      <c r="C223" s="167" t="s">
        <v>580</v>
      </c>
      <c r="D223" s="167" t="s">
        <v>554</v>
      </c>
      <c r="E223" s="168">
        <v>32678000</v>
      </c>
      <c r="F223" s="168">
        <v>31850762</v>
      </c>
      <c r="G223" s="168">
        <v>31850762</v>
      </c>
      <c r="H223" s="168">
        <v>0</v>
      </c>
      <c r="I223" s="168">
        <v>0</v>
      </c>
      <c r="J223" s="168">
        <v>0</v>
      </c>
      <c r="K223" s="168">
        <v>29422437</v>
      </c>
      <c r="L223" s="168">
        <v>29422437</v>
      </c>
      <c r="M223" s="168">
        <v>2428325</v>
      </c>
      <c r="N223" s="168">
        <v>2428325</v>
      </c>
    </row>
    <row r="224" spans="1:14" x14ac:dyDescent="0.25">
      <c r="A224" s="167" t="s">
        <v>558</v>
      </c>
      <c r="B224" s="167" t="s">
        <v>324</v>
      </c>
      <c r="C224" s="167" t="s">
        <v>580</v>
      </c>
      <c r="D224" s="167" t="s">
        <v>556</v>
      </c>
      <c r="E224" s="168">
        <v>0</v>
      </c>
      <c r="F224" s="168">
        <v>469000</v>
      </c>
      <c r="G224" s="168">
        <v>469000</v>
      </c>
      <c r="H224" s="168">
        <v>0</v>
      </c>
      <c r="I224" s="168">
        <v>0</v>
      </c>
      <c r="J224" s="168">
        <v>0</v>
      </c>
      <c r="K224" s="168">
        <v>0</v>
      </c>
      <c r="L224" s="168">
        <v>0</v>
      </c>
      <c r="M224" s="168">
        <v>469000</v>
      </c>
      <c r="N224" s="168">
        <v>469000</v>
      </c>
    </row>
    <row r="225" spans="1:14" x14ac:dyDescent="0.25">
      <c r="A225" s="167" t="s">
        <v>558</v>
      </c>
      <c r="B225" s="167" t="s">
        <v>118</v>
      </c>
      <c r="C225" s="167" t="s">
        <v>119</v>
      </c>
      <c r="D225" s="167" t="s">
        <v>554</v>
      </c>
      <c r="E225" s="168">
        <v>626106000</v>
      </c>
      <c r="F225" s="168">
        <v>619240102</v>
      </c>
      <c r="G225" s="168">
        <v>619240102</v>
      </c>
      <c r="H225" s="168">
        <v>0</v>
      </c>
      <c r="I225" s="168">
        <v>0</v>
      </c>
      <c r="J225" s="168">
        <v>0</v>
      </c>
      <c r="K225" s="168">
        <v>546464839</v>
      </c>
      <c r="L225" s="168">
        <v>546464839</v>
      </c>
      <c r="M225" s="168">
        <v>72775263</v>
      </c>
      <c r="N225" s="168">
        <v>72775263</v>
      </c>
    </row>
    <row r="226" spans="1:14" x14ac:dyDescent="0.25">
      <c r="A226" s="167" t="s">
        <v>558</v>
      </c>
      <c r="B226" s="167" t="s">
        <v>325</v>
      </c>
      <c r="C226" s="167" t="s">
        <v>121</v>
      </c>
      <c r="D226" s="167" t="s">
        <v>554</v>
      </c>
      <c r="E226" s="168">
        <v>332005000</v>
      </c>
      <c r="F226" s="168">
        <v>323600252</v>
      </c>
      <c r="G226" s="168">
        <v>323600252</v>
      </c>
      <c r="H226" s="168">
        <v>0</v>
      </c>
      <c r="I226" s="168">
        <v>0</v>
      </c>
      <c r="J226" s="168">
        <v>0</v>
      </c>
      <c r="K226" s="168">
        <v>281662913</v>
      </c>
      <c r="L226" s="168">
        <v>281662913</v>
      </c>
      <c r="M226" s="168">
        <v>41937339</v>
      </c>
      <c r="N226" s="168">
        <v>41937339</v>
      </c>
    </row>
    <row r="227" spans="1:14" x14ac:dyDescent="0.25">
      <c r="A227" s="167" t="s">
        <v>558</v>
      </c>
      <c r="B227" s="167" t="s">
        <v>325</v>
      </c>
      <c r="C227" s="167" t="s">
        <v>121</v>
      </c>
      <c r="D227" s="167" t="s">
        <v>556</v>
      </c>
      <c r="E227" s="168">
        <v>0</v>
      </c>
      <c r="F227" s="168">
        <v>4764000</v>
      </c>
      <c r="G227" s="168">
        <v>4764000</v>
      </c>
      <c r="H227" s="168">
        <v>0</v>
      </c>
      <c r="I227" s="168">
        <v>0</v>
      </c>
      <c r="J227" s="168">
        <v>0</v>
      </c>
      <c r="K227" s="168">
        <v>0</v>
      </c>
      <c r="L227" s="168">
        <v>0</v>
      </c>
      <c r="M227" s="168">
        <v>4764000</v>
      </c>
      <c r="N227" s="168">
        <v>4764000</v>
      </c>
    </row>
    <row r="228" spans="1:14" x14ac:dyDescent="0.25">
      <c r="A228" s="167" t="s">
        <v>558</v>
      </c>
      <c r="B228" s="167" t="s">
        <v>326</v>
      </c>
      <c r="C228" s="167" t="s">
        <v>123</v>
      </c>
      <c r="D228" s="167" t="s">
        <v>554</v>
      </c>
      <c r="E228" s="168">
        <v>98034000</v>
      </c>
      <c r="F228" s="168">
        <v>95552284</v>
      </c>
      <c r="G228" s="168">
        <v>95552284</v>
      </c>
      <c r="H228" s="168">
        <v>0</v>
      </c>
      <c r="I228" s="168">
        <v>0</v>
      </c>
      <c r="J228" s="168">
        <v>0</v>
      </c>
      <c r="K228" s="168">
        <v>88267317</v>
      </c>
      <c r="L228" s="168">
        <v>88267317</v>
      </c>
      <c r="M228" s="168">
        <v>7284967</v>
      </c>
      <c r="N228" s="168">
        <v>7284967</v>
      </c>
    </row>
    <row r="229" spans="1:14" x14ac:dyDescent="0.25">
      <c r="A229" s="167" t="s">
        <v>558</v>
      </c>
      <c r="B229" s="167" t="s">
        <v>326</v>
      </c>
      <c r="C229" s="167" t="s">
        <v>123</v>
      </c>
      <c r="D229" s="167" t="s">
        <v>556</v>
      </c>
      <c r="E229" s="168">
        <v>0</v>
      </c>
      <c r="F229" s="168">
        <v>1407000</v>
      </c>
      <c r="G229" s="168">
        <v>1407000</v>
      </c>
      <c r="H229" s="168">
        <v>0</v>
      </c>
      <c r="I229" s="168">
        <v>0</v>
      </c>
      <c r="J229" s="168">
        <v>0</v>
      </c>
      <c r="K229" s="168">
        <v>0</v>
      </c>
      <c r="L229" s="168">
        <v>0</v>
      </c>
      <c r="M229" s="168">
        <v>1407000</v>
      </c>
      <c r="N229" s="168">
        <v>1407000</v>
      </c>
    </row>
    <row r="230" spans="1:14" x14ac:dyDescent="0.25">
      <c r="A230" s="167" t="s">
        <v>558</v>
      </c>
      <c r="B230" s="167" t="s">
        <v>327</v>
      </c>
      <c r="C230" s="167" t="s">
        <v>125</v>
      </c>
      <c r="D230" s="167" t="s">
        <v>554</v>
      </c>
      <c r="E230" s="168">
        <v>196067000</v>
      </c>
      <c r="F230" s="168">
        <v>191103566</v>
      </c>
      <c r="G230" s="168">
        <v>191103566</v>
      </c>
      <c r="H230" s="168">
        <v>0</v>
      </c>
      <c r="I230" s="168">
        <v>0</v>
      </c>
      <c r="J230" s="168">
        <v>0</v>
      </c>
      <c r="K230" s="168">
        <v>176534609</v>
      </c>
      <c r="L230" s="168">
        <v>176534609</v>
      </c>
      <c r="M230" s="168">
        <v>14568957</v>
      </c>
      <c r="N230" s="168">
        <v>14568957</v>
      </c>
    </row>
    <row r="231" spans="1:14" x14ac:dyDescent="0.25">
      <c r="A231" s="167" t="s">
        <v>558</v>
      </c>
      <c r="B231" s="167" t="s">
        <v>327</v>
      </c>
      <c r="C231" s="167" t="s">
        <v>125</v>
      </c>
      <c r="D231" s="167" t="s">
        <v>556</v>
      </c>
      <c r="E231" s="168">
        <v>0</v>
      </c>
      <c r="F231" s="168">
        <v>2813000</v>
      </c>
      <c r="G231" s="168">
        <v>2813000</v>
      </c>
      <c r="H231" s="168">
        <v>0</v>
      </c>
      <c r="I231" s="168">
        <v>0</v>
      </c>
      <c r="J231" s="168">
        <v>0</v>
      </c>
      <c r="K231" s="168">
        <v>0</v>
      </c>
      <c r="L231" s="168">
        <v>0</v>
      </c>
      <c r="M231" s="168">
        <v>2813000</v>
      </c>
      <c r="N231" s="168">
        <v>2813000</v>
      </c>
    </row>
    <row r="232" spans="1:14" x14ac:dyDescent="0.25">
      <c r="A232" s="167" t="s">
        <v>558</v>
      </c>
      <c r="B232" s="167" t="s">
        <v>126</v>
      </c>
      <c r="C232" s="167" t="s">
        <v>127</v>
      </c>
      <c r="D232" s="167" t="s">
        <v>554</v>
      </c>
      <c r="E232" s="168">
        <v>1023495490</v>
      </c>
      <c r="F232" s="168">
        <v>1030249290</v>
      </c>
      <c r="G232" s="168">
        <v>1030249290</v>
      </c>
      <c r="H232" s="168">
        <v>0</v>
      </c>
      <c r="I232" s="168">
        <v>90951158.450000003</v>
      </c>
      <c r="J232" s="168">
        <v>0</v>
      </c>
      <c r="K232" s="168">
        <v>788119567.27999997</v>
      </c>
      <c r="L232" s="168">
        <v>698368022.04999995</v>
      </c>
      <c r="M232" s="168">
        <v>151178564.27000001</v>
      </c>
      <c r="N232" s="168">
        <v>151178564.27000001</v>
      </c>
    </row>
    <row r="233" spans="1:14" x14ac:dyDescent="0.25">
      <c r="A233" s="167" t="s">
        <v>558</v>
      </c>
      <c r="B233" s="167" t="s">
        <v>128</v>
      </c>
      <c r="C233" s="167" t="s">
        <v>129</v>
      </c>
      <c r="D233" s="167" t="s">
        <v>554</v>
      </c>
      <c r="E233" s="168">
        <v>302334000</v>
      </c>
      <c r="F233" s="168">
        <v>284556000</v>
      </c>
      <c r="G233" s="168">
        <v>284556000</v>
      </c>
      <c r="H233" s="168">
        <v>0</v>
      </c>
      <c r="I233" s="168">
        <v>7823202.9100000001</v>
      </c>
      <c r="J233" s="168">
        <v>0</v>
      </c>
      <c r="K233" s="168">
        <v>205307014.59</v>
      </c>
      <c r="L233" s="168">
        <v>178143584.36000001</v>
      </c>
      <c r="M233" s="168">
        <v>71425782.5</v>
      </c>
      <c r="N233" s="168">
        <v>71425782.5</v>
      </c>
    </row>
    <row r="234" spans="1:14" x14ac:dyDescent="0.25">
      <c r="A234" s="167" t="s">
        <v>558</v>
      </c>
      <c r="B234" s="167" t="s">
        <v>313</v>
      </c>
      <c r="C234" s="167" t="s">
        <v>314</v>
      </c>
      <c r="D234" s="167" t="s">
        <v>554</v>
      </c>
      <c r="E234" s="168">
        <v>180362000</v>
      </c>
      <c r="F234" s="168">
        <v>153062000</v>
      </c>
      <c r="G234" s="168">
        <v>153062000</v>
      </c>
      <c r="H234" s="168">
        <v>0</v>
      </c>
      <c r="I234" s="168">
        <v>447000</v>
      </c>
      <c r="J234" s="168">
        <v>0</v>
      </c>
      <c r="K234" s="168">
        <v>103042743</v>
      </c>
      <c r="L234" s="168">
        <v>97991927.75</v>
      </c>
      <c r="M234" s="168">
        <v>49572257</v>
      </c>
      <c r="N234" s="168">
        <v>49572257</v>
      </c>
    </row>
    <row r="235" spans="1:14" x14ac:dyDescent="0.25">
      <c r="A235" s="167" t="s">
        <v>558</v>
      </c>
      <c r="B235" s="167" t="s">
        <v>328</v>
      </c>
      <c r="C235" s="167" t="s">
        <v>329</v>
      </c>
      <c r="D235" s="167" t="s">
        <v>554</v>
      </c>
      <c r="E235" s="168">
        <v>8921000</v>
      </c>
      <c r="F235" s="168">
        <v>7921000</v>
      </c>
      <c r="G235" s="168">
        <v>7921000</v>
      </c>
      <c r="H235" s="168">
        <v>0</v>
      </c>
      <c r="I235" s="168">
        <v>0</v>
      </c>
      <c r="J235" s="168">
        <v>0</v>
      </c>
      <c r="K235" s="168">
        <v>3626284.12</v>
      </c>
      <c r="L235" s="168">
        <v>3197953.03</v>
      </c>
      <c r="M235" s="168">
        <v>4294715.88</v>
      </c>
      <c r="N235" s="168">
        <v>4294715.88</v>
      </c>
    </row>
    <row r="236" spans="1:14" x14ac:dyDescent="0.25">
      <c r="A236" s="167" t="s">
        <v>558</v>
      </c>
      <c r="B236" s="167" t="s">
        <v>130</v>
      </c>
      <c r="C236" s="167" t="s">
        <v>131</v>
      </c>
      <c r="D236" s="167" t="s">
        <v>554</v>
      </c>
      <c r="E236" s="168">
        <v>101630000</v>
      </c>
      <c r="F236" s="168">
        <v>105630000</v>
      </c>
      <c r="G236" s="168">
        <v>105630000</v>
      </c>
      <c r="H236" s="168">
        <v>0</v>
      </c>
      <c r="I236" s="168">
        <v>7376202.9100000001</v>
      </c>
      <c r="J236" s="168">
        <v>0</v>
      </c>
      <c r="K236" s="168">
        <v>87594767.930000007</v>
      </c>
      <c r="L236" s="168">
        <v>67452855.829999998</v>
      </c>
      <c r="M236" s="168">
        <v>10659029.16</v>
      </c>
      <c r="N236" s="168">
        <v>10659029.16</v>
      </c>
    </row>
    <row r="237" spans="1:14" x14ac:dyDescent="0.25">
      <c r="A237" s="167" t="s">
        <v>558</v>
      </c>
      <c r="B237" s="167" t="s">
        <v>330</v>
      </c>
      <c r="C237" s="167" t="s">
        <v>331</v>
      </c>
      <c r="D237" s="167" t="s">
        <v>554</v>
      </c>
      <c r="E237" s="168">
        <v>1586000</v>
      </c>
      <c r="F237" s="168">
        <v>3586000</v>
      </c>
      <c r="G237" s="168">
        <v>3586000</v>
      </c>
      <c r="H237" s="168">
        <v>0</v>
      </c>
      <c r="I237" s="168">
        <v>0</v>
      </c>
      <c r="J237" s="168">
        <v>0</v>
      </c>
      <c r="K237" s="168">
        <v>1548929.25</v>
      </c>
      <c r="L237" s="168">
        <v>1548929.25</v>
      </c>
      <c r="M237" s="168">
        <v>2037070.75</v>
      </c>
      <c r="N237" s="168">
        <v>2037070.75</v>
      </c>
    </row>
    <row r="238" spans="1:14" x14ac:dyDescent="0.25">
      <c r="A238" s="167" t="s">
        <v>558</v>
      </c>
      <c r="B238" s="167" t="s">
        <v>132</v>
      </c>
      <c r="C238" s="167" t="s">
        <v>133</v>
      </c>
      <c r="D238" s="167" t="s">
        <v>554</v>
      </c>
      <c r="E238" s="168">
        <v>9835000</v>
      </c>
      <c r="F238" s="168">
        <v>13835000</v>
      </c>
      <c r="G238" s="168">
        <v>13835000</v>
      </c>
      <c r="H238" s="168">
        <v>0</v>
      </c>
      <c r="I238" s="168">
        <v>0</v>
      </c>
      <c r="J238" s="168">
        <v>0</v>
      </c>
      <c r="K238" s="168">
        <v>9494290.2899999991</v>
      </c>
      <c r="L238" s="168">
        <v>7951918.5</v>
      </c>
      <c r="M238" s="168">
        <v>4340709.71</v>
      </c>
      <c r="N238" s="168">
        <v>4340709.71</v>
      </c>
    </row>
    <row r="239" spans="1:14" x14ac:dyDescent="0.25">
      <c r="A239" s="167" t="s">
        <v>558</v>
      </c>
      <c r="B239" s="167" t="s">
        <v>132</v>
      </c>
      <c r="C239" s="167" t="s">
        <v>133</v>
      </c>
      <c r="D239" s="167" t="s">
        <v>556</v>
      </c>
      <c r="E239" s="168">
        <v>0</v>
      </c>
      <c r="F239" s="168">
        <v>522000</v>
      </c>
      <c r="G239" s="168">
        <v>522000</v>
      </c>
      <c r="H239" s="168">
        <v>0</v>
      </c>
      <c r="I239" s="168">
        <v>0</v>
      </c>
      <c r="J239" s="168">
        <v>0</v>
      </c>
      <c r="K239" s="168">
        <v>0</v>
      </c>
      <c r="L239" s="168">
        <v>0</v>
      </c>
      <c r="M239" s="168">
        <v>522000</v>
      </c>
      <c r="N239" s="168">
        <v>522000</v>
      </c>
    </row>
    <row r="240" spans="1:14" x14ac:dyDescent="0.25">
      <c r="A240" s="167" t="s">
        <v>558</v>
      </c>
      <c r="B240" s="167" t="s">
        <v>134</v>
      </c>
      <c r="C240" s="167" t="s">
        <v>135</v>
      </c>
      <c r="D240" s="167" t="s">
        <v>554</v>
      </c>
      <c r="E240" s="168">
        <v>121274000</v>
      </c>
      <c r="F240" s="168">
        <v>120005800</v>
      </c>
      <c r="G240" s="168">
        <v>120005800</v>
      </c>
      <c r="H240" s="168">
        <v>0</v>
      </c>
      <c r="I240" s="168">
        <v>13993723.33</v>
      </c>
      <c r="J240" s="168">
        <v>0</v>
      </c>
      <c r="K240" s="168">
        <v>93316079.219999999</v>
      </c>
      <c r="L240" s="168">
        <v>90480050.420000002</v>
      </c>
      <c r="M240" s="168">
        <v>12695997.449999999</v>
      </c>
      <c r="N240" s="168">
        <v>12695997.449999999</v>
      </c>
    </row>
    <row r="241" spans="1:14" x14ac:dyDescent="0.25">
      <c r="A241" s="167" t="s">
        <v>558</v>
      </c>
      <c r="B241" s="167" t="s">
        <v>136</v>
      </c>
      <c r="C241" s="167" t="s">
        <v>137</v>
      </c>
      <c r="D241" s="167" t="s">
        <v>554</v>
      </c>
      <c r="E241" s="168">
        <v>16600000</v>
      </c>
      <c r="F241" s="168">
        <v>15331800</v>
      </c>
      <c r="G241" s="168">
        <v>15331800</v>
      </c>
      <c r="H241" s="168">
        <v>0</v>
      </c>
      <c r="I241" s="168">
        <v>2168137</v>
      </c>
      <c r="J241" s="168">
        <v>0</v>
      </c>
      <c r="K241" s="168">
        <v>10433518</v>
      </c>
      <c r="L241" s="168">
        <v>10433518</v>
      </c>
      <c r="M241" s="168">
        <v>2730145</v>
      </c>
      <c r="N241" s="168">
        <v>2730145</v>
      </c>
    </row>
    <row r="242" spans="1:14" x14ac:dyDescent="0.25">
      <c r="A242" s="167" t="s">
        <v>558</v>
      </c>
      <c r="B242" s="167" t="s">
        <v>138</v>
      </c>
      <c r="C242" s="167" t="s">
        <v>139</v>
      </c>
      <c r="D242" s="167" t="s">
        <v>554</v>
      </c>
      <c r="E242" s="168">
        <v>44000000</v>
      </c>
      <c r="F242" s="168">
        <v>44000000</v>
      </c>
      <c r="G242" s="168">
        <v>44000000</v>
      </c>
      <c r="H242" s="168">
        <v>0</v>
      </c>
      <c r="I242" s="168">
        <v>3147660</v>
      </c>
      <c r="J242" s="168">
        <v>0</v>
      </c>
      <c r="K242" s="168">
        <v>39135340</v>
      </c>
      <c r="L242" s="168">
        <v>39135340</v>
      </c>
      <c r="M242" s="168">
        <v>1717000</v>
      </c>
      <c r="N242" s="168">
        <v>1717000</v>
      </c>
    </row>
    <row r="243" spans="1:14" x14ac:dyDescent="0.25">
      <c r="A243" s="167" t="s">
        <v>558</v>
      </c>
      <c r="B243" s="167" t="s">
        <v>140</v>
      </c>
      <c r="C243" s="167" t="s">
        <v>141</v>
      </c>
      <c r="D243" s="167" t="s">
        <v>554</v>
      </c>
      <c r="E243" s="168">
        <v>15600000</v>
      </c>
      <c r="F243" s="168">
        <v>14700000</v>
      </c>
      <c r="G243" s="168">
        <v>14700000</v>
      </c>
      <c r="H243" s="168">
        <v>0</v>
      </c>
      <c r="I243" s="168">
        <v>3165105</v>
      </c>
      <c r="J243" s="168">
        <v>0</v>
      </c>
      <c r="K243" s="168">
        <v>7317330</v>
      </c>
      <c r="L243" s="168">
        <v>7317330</v>
      </c>
      <c r="M243" s="168">
        <v>4217565</v>
      </c>
      <c r="N243" s="168">
        <v>4217565</v>
      </c>
    </row>
    <row r="244" spans="1:14" x14ac:dyDescent="0.25">
      <c r="A244" s="167" t="s">
        <v>558</v>
      </c>
      <c r="B244" s="167" t="s">
        <v>142</v>
      </c>
      <c r="C244" s="167" t="s">
        <v>143</v>
      </c>
      <c r="D244" s="167" t="s">
        <v>554</v>
      </c>
      <c r="E244" s="168">
        <v>41074000</v>
      </c>
      <c r="F244" s="168">
        <v>41074000</v>
      </c>
      <c r="G244" s="168">
        <v>41074000</v>
      </c>
      <c r="H244" s="168">
        <v>0</v>
      </c>
      <c r="I244" s="168">
        <v>5443098.4000000004</v>
      </c>
      <c r="J244" s="168">
        <v>0</v>
      </c>
      <c r="K244" s="168">
        <v>31599689.600000001</v>
      </c>
      <c r="L244" s="168">
        <v>28763660.800000001</v>
      </c>
      <c r="M244" s="168">
        <v>4031212</v>
      </c>
      <c r="N244" s="168">
        <v>4031212</v>
      </c>
    </row>
    <row r="245" spans="1:14" x14ac:dyDescent="0.25">
      <c r="A245" s="167" t="s">
        <v>558</v>
      </c>
      <c r="B245" s="167" t="s">
        <v>144</v>
      </c>
      <c r="C245" s="167" t="s">
        <v>145</v>
      </c>
      <c r="D245" s="167" t="s">
        <v>554</v>
      </c>
      <c r="E245" s="168">
        <v>4000000</v>
      </c>
      <c r="F245" s="168">
        <v>4900000</v>
      </c>
      <c r="G245" s="168">
        <v>4900000</v>
      </c>
      <c r="H245" s="168">
        <v>0</v>
      </c>
      <c r="I245" s="168">
        <v>69722.929999999993</v>
      </c>
      <c r="J245" s="168">
        <v>0</v>
      </c>
      <c r="K245" s="168">
        <v>4830201.62</v>
      </c>
      <c r="L245" s="168">
        <v>4830201.62</v>
      </c>
      <c r="M245" s="168">
        <v>75.45</v>
      </c>
      <c r="N245" s="168">
        <v>75.45</v>
      </c>
    </row>
    <row r="246" spans="1:14" x14ac:dyDescent="0.25">
      <c r="A246" s="167" t="s">
        <v>558</v>
      </c>
      <c r="B246" s="167" t="s">
        <v>146</v>
      </c>
      <c r="C246" s="167" t="s">
        <v>147</v>
      </c>
      <c r="D246" s="167" t="s">
        <v>554</v>
      </c>
      <c r="E246" s="168">
        <v>7101500</v>
      </c>
      <c r="F246" s="168">
        <v>13701500</v>
      </c>
      <c r="G246" s="168">
        <v>13701500</v>
      </c>
      <c r="H246" s="168">
        <v>0</v>
      </c>
      <c r="I246" s="168">
        <v>3764521.63</v>
      </c>
      <c r="J246" s="168">
        <v>0</v>
      </c>
      <c r="K246" s="168">
        <v>6288419.3799999999</v>
      </c>
      <c r="L246" s="168">
        <v>4349731.68</v>
      </c>
      <c r="M246" s="168">
        <v>3648558.99</v>
      </c>
      <c r="N246" s="168">
        <v>3648558.99</v>
      </c>
    </row>
    <row r="247" spans="1:14" x14ac:dyDescent="0.25">
      <c r="A247" s="167" t="s">
        <v>558</v>
      </c>
      <c r="B247" s="167" t="s">
        <v>148</v>
      </c>
      <c r="C247" s="167" t="s">
        <v>149</v>
      </c>
      <c r="D247" s="167" t="s">
        <v>554</v>
      </c>
      <c r="E247" s="168">
        <v>1000000</v>
      </c>
      <c r="F247" s="168">
        <v>1000000</v>
      </c>
      <c r="G247" s="168">
        <v>1000000</v>
      </c>
      <c r="H247" s="168">
        <v>0</v>
      </c>
      <c r="I247" s="168">
        <v>171010</v>
      </c>
      <c r="J247" s="168">
        <v>0</v>
      </c>
      <c r="K247" s="168">
        <v>221570</v>
      </c>
      <c r="L247" s="168">
        <v>221570</v>
      </c>
      <c r="M247" s="168">
        <v>607420</v>
      </c>
      <c r="N247" s="168">
        <v>607420</v>
      </c>
    </row>
    <row r="248" spans="1:14" x14ac:dyDescent="0.25">
      <c r="A248" s="167" t="s">
        <v>558</v>
      </c>
      <c r="B248" s="167" t="s">
        <v>150</v>
      </c>
      <c r="C248" s="167" t="s">
        <v>151</v>
      </c>
      <c r="D248" s="167" t="s">
        <v>554</v>
      </c>
      <c r="E248" s="168">
        <v>2500000</v>
      </c>
      <c r="F248" s="168">
        <v>2500000</v>
      </c>
      <c r="G248" s="168">
        <v>2500000</v>
      </c>
      <c r="H248" s="168">
        <v>0</v>
      </c>
      <c r="I248" s="168">
        <v>310420</v>
      </c>
      <c r="J248" s="168">
        <v>0</v>
      </c>
      <c r="K248" s="168">
        <v>495165</v>
      </c>
      <c r="L248" s="168">
        <v>495165</v>
      </c>
      <c r="M248" s="168">
        <v>1694415</v>
      </c>
      <c r="N248" s="168">
        <v>1694415</v>
      </c>
    </row>
    <row r="249" spans="1:14" x14ac:dyDescent="0.25">
      <c r="A249" s="167" t="s">
        <v>558</v>
      </c>
      <c r="B249" s="167" t="s">
        <v>332</v>
      </c>
      <c r="C249" s="167" t="s">
        <v>333</v>
      </c>
      <c r="D249" s="167" t="s">
        <v>554</v>
      </c>
      <c r="E249" s="168">
        <v>550000</v>
      </c>
      <c r="F249" s="168">
        <v>550000</v>
      </c>
      <c r="G249" s="168">
        <v>550000</v>
      </c>
      <c r="H249" s="168">
        <v>0</v>
      </c>
      <c r="I249" s="168">
        <v>0</v>
      </c>
      <c r="J249" s="168">
        <v>0</v>
      </c>
      <c r="K249" s="168">
        <v>0</v>
      </c>
      <c r="L249" s="168">
        <v>0</v>
      </c>
      <c r="M249" s="168">
        <v>550000</v>
      </c>
      <c r="N249" s="168">
        <v>550000</v>
      </c>
    </row>
    <row r="250" spans="1:14" x14ac:dyDescent="0.25">
      <c r="A250" s="167" t="s">
        <v>558</v>
      </c>
      <c r="B250" s="167" t="s">
        <v>152</v>
      </c>
      <c r="C250" s="167" t="s">
        <v>153</v>
      </c>
      <c r="D250" s="167" t="s">
        <v>554</v>
      </c>
      <c r="E250" s="168">
        <v>50000</v>
      </c>
      <c r="F250" s="168">
        <v>150000</v>
      </c>
      <c r="G250" s="168">
        <v>150000</v>
      </c>
      <c r="H250" s="168">
        <v>0</v>
      </c>
      <c r="I250" s="168">
        <v>7706.5</v>
      </c>
      <c r="J250" s="168">
        <v>0</v>
      </c>
      <c r="K250" s="168">
        <v>35293.5</v>
      </c>
      <c r="L250" s="168">
        <v>34721.5</v>
      </c>
      <c r="M250" s="168">
        <v>107000</v>
      </c>
      <c r="N250" s="168">
        <v>107000</v>
      </c>
    </row>
    <row r="251" spans="1:14" x14ac:dyDescent="0.25">
      <c r="A251" s="167" t="s">
        <v>558</v>
      </c>
      <c r="B251" s="167" t="s">
        <v>334</v>
      </c>
      <c r="C251" s="167" t="s">
        <v>335</v>
      </c>
      <c r="D251" s="167" t="s">
        <v>554</v>
      </c>
      <c r="E251" s="168">
        <v>3001500</v>
      </c>
      <c r="F251" s="168">
        <v>9501500</v>
      </c>
      <c r="G251" s="168">
        <v>9501500</v>
      </c>
      <c r="H251" s="168">
        <v>0</v>
      </c>
      <c r="I251" s="168">
        <v>3275385.13</v>
      </c>
      <c r="J251" s="168">
        <v>0</v>
      </c>
      <c r="K251" s="168">
        <v>5536390.8799999999</v>
      </c>
      <c r="L251" s="168">
        <v>3598275.18</v>
      </c>
      <c r="M251" s="168">
        <v>689723.99</v>
      </c>
      <c r="N251" s="168">
        <v>689723.99</v>
      </c>
    </row>
    <row r="252" spans="1:14" x14ac:dyDescent="0.25">
      <c r="A252" s="167" t="s">
        <v>558</v>
      </c>
      <c r="B252" s="167" t="s">
        <v>154</v>
      </c>
      <c r="C252" s="167" t="s">
        <v>155</v>
      </c>
      <c r="D252" s="167" t="s">
        <v>554</v>
      </c>
      <c r="E252" s="168">
        <v>371261490</v>
      </c>
      <c r="F252" s="168">
        <v>374761490</v>
      </c>
      <c r="G252" s="168">
        <v>374761490</v>
      </c>
      <c r="H252" s="168">
        <v>0</v>
      </c>
      <c r="I252" s="168">
        <v>61876041.979999997</v>
      </c>
      <c r="J252" s="168">
        <v>0</v>
      </c>
      <c r="K252" s="168">
        <v>304630798.56999999</v>
      </c>
      <c r="L252" s="168">
        <v>265163822.19</v>
      </c>
      <c r="M252" s="168">
        <v>8254649.4500000002</v>
      </c>
      <c r="N252" s="168">
        <v>8254649.4500000002</v>
      </c>
    </row>
    <row r="253" spans="1:14" x14ac:dyDescent="0.25">
      <c r="A253" s="167" t="s">
        <v>558</v>
      </c>
      <c r="B253" s="167" t="s">
        <v>336</v>
      </c>
      <c r="C253" s="167" t="s">
        <v>337</v>
      </c>
      <c r="D253" s="167" t="s">
        <v>554</v>
      </c>
      <c r="E253" s="168">
        <v>2000000</v>
      </c>
      <c r="F253" s="168">
        <v>2000000</v>
      </c>
      <c r="G253" s="168">
        <v>2000000</v>
      </c>
      <c r="H253" s="168">
        <v>0</v>
      </c>
      <c r="I253" s="168">
        <v>0</v>
      </c>
      <c r="J253" s="168">
        <v>0</v>
      </c>
      <c r="K253" s="168">
        <v>9300</v>
      </c>
      <c r="L253" s="168">
        <v>9300</v>
      </c>
      <c r="M253" s="168">
        <v>1990700</v>
      </c>
      <c r="N253" s="168">
        <v>1990700</v>
      </c>
    </row>
    <row r="254" spans="1:14" x14ac:dyDescent="0.25">
      <c r="A254" s="167" t="s">
        <v>558</v>
      </c>
      <c r="B254" s="167" t="s">
        <v>338</v>
      </c>
      <c r="C254" s="167" t="s">
        <v>339</v>
      </c>
      <c r="D254" s="167" t="s">
        <v>554</v>
      </c>
      <c r="E254" s="168">
        <v>25875000</v>
      </c>
      <c r="F254" s="168">
        <v>25875000</v>
      </c>
      <c r="G254" s="168">
        <v>25875000</v>
      </c>
      <c r="H254" s="168">
        <v>0</v>
      </c>
      <c r="I254" s="168">
        <v>17457949.920000002</v>
      </c>
      <c r="J254" s="168">
        <v>0</v>
      </c>
      <c r="K254" s="168">
        <v>8398518.7400000002</v>
      </c>
      <c r="L254" s="168">
        <v>4800117.59</v>
      </c>
      <c r="M254" s="168">
        <v>18531.34</v>
      </c>
      <c r="N254" s="168">
        <v>18531.34</v>
      </c>
    </row>
    <row r="255" spans="1:14" x14ac:dyDescent="0.25">
      <c r="A255" s="167" t="s">
        <v>558</v>
      </c>
      <c r="B255" s="167" t="s">
        <v>340</v>
      </c>
      <c r="C255" s="167" t="s">
        <v>341</v>
      </c>
      <c r="D255" s="167" t="s">
        <v>554</v>
      </c>
      <c r="E255" s="168">
        <v>27247000</v>
      </c>
      <c r="F255" s="168">
        <v>30747000</v>
      </c>
      <c r="G255" s="168">
        <v>30747000</v>
      </c>
      <c r="H255" s="168">
        <v>0</v>
      </c>
      <c r="I255" s="168">
        <v>1393831.88</v>
      </c>
      <c r="J255" s="168">
        <v>0</v>
      </c>
      <c r="K255" s="168">
        <v>27431451.09</v>
      </c>
      <c r="L255" s="168">
        <v>25186582.539999999</v>
      </c>
      <c r="M255" s="168">
        <v>1921717.03</v>
      </c>
      <c r="N255" s="168">
        <v>1921717.03</v>
      </c>
    </row>
    <row r="256" spans="1:14" x14ac:dyDescent="0.25">
      <c r="A256" s="167" t="s">
        <v>558</v>
      </c>
      <c r="B256" s="167" t="s">
        <v>158</v>
      </c>
      <c r="C256" s="167" t="s">
        <v>159</v>
      </c>
      <c r="D256" s="167" t="s">
        <v>554</v>
      </c>
      <c r="E256" s="168">
        <v>305339490</v>
      </c>
      <c r="F256" s="168">
        <v>305339490</v>
      </c>
      <c r="G256" s="168">
        <v>305339490</v>
      </c>
      <c r="H256" s="168">
        <v>0</v>
      </c>
      <c r="I256" s="168">
        <v>41359446.93</v>
      </c>
      <c r="J256" s="168">
        <v>0</v>
      </c>
      <c r="K256" s="168">
        <v>261955915.74000001</v>
      </c>
      <c r="L256" s="168">
        <v>229125894.06</v>
      </c>
      <c r="M256" s="168">
        <v>2024127.33</v>
      </c>
      <c r="N256" s="168">
        <v>2024127.33</v>
      </c>
    </row>
    <row r="257" spans="1:14" x14ac:dyDescent="0.25">
      <c r="A257" s="167" t="s">
        <v>558</v>
      </c>
      <c r="B257" s="167" t="s">
        <v>160</v>
      </c>
      <c r="C257" s="167" t="s">
        <v>161</v>
      </c>
      <c r="D257" s="167" t="s">
        <v>554</v>
      </c>
      <c r="E257" s="168">
        <v>10800000</v>
      </c>
      <c r="F257" s="168">
        <v>10800000</v>
      </c>
      <c r="G257" s="168">
        <v>10800000</v>
      </c>
      <c r="H257" s="168">
        <v>0</v>
      </c>
      <c r="I257" s="168">
        <v>1664813.25</v>
      </c>
      <c r="J257" s="168">
        <v>0</v>
      </c>
      <c r="K257" s="168">
        <v>6835613</v>
      </c>
      <c r="L257" s="168">
        <v>6041928</v>
      </c>
      <c r="M257" s="168">
        <v>2299573.75</v>
      </c>
      <c r="N257" s="168">
        <v>2299573.75</v>
      </c>
    </row>
    <row r="258" spans="1:14" x14ac:dyDescent="0.25">
      <c r="A258" s="167" t="s">
        <v>558</v>
      </c>
      <c r="B258" s="167" t="s">
        <v>162</v>
      </c>
      <c r="C258" s="167" t="s">
        <v>163</v>
      </c>
      <c r="D258" s="167" t="s">
        <v>554</v>
      </c>
      <c r="E258" s="168">
        <v>48204000</v>
      </c>
      <c r="F258" s="168">
        <v>48504000</v>
      </c>
      <c r="G258" s="168">
        <v>48504000</v>
      </c>
      <c r="H258" s="168">
        <v>0</v>
      </c>
      <c r="I258" s="168">
        <v>1386790</v>
      </c>
      <c r="J258" s="168">
        <v>0</v>
      </c>
      <c r="K258" s="168">
        <v>38503112.200000003</v>
      </c>
      <c r="L258" s="168">
        <v>38454147.200000003</v>
      </c>
      <c r="M258" s="168">
        <v>8614097.8000000007</v>
      </c>
      <c r="N258" s="168">
        <v>8614097.8000000007</v>
      </c>
    </row>
    <row r="259" spans="1:14" x14ac:dyDescent="0.25">
      <c r="A259" s="167" t="s">
        <v>558</v>
      </c>
      <c r="B259" s="167" t="s">
        <v>164</v>
      </c>
      <c r="C259" s="167" t="s">
        <v>165</v>
      </c>
      <c r="D259" s="167" t="s">
        <v>554</v>
      </c>
      <c r="E259" s="168">
        <v>650000</v>
      </c>
      <c r="F259" s="168">
        <v>950000</v>
      </c>
      <c r="G259" s="168">
        <v>950000</v>
      </c>
      <c r="H259" s="168">
        <v>0</v>
      </c>
      <c r="I259" s="168">
        <v>103740</v>
      </c>
      <c r="J259" s="168">
        <v>0</v>
      </c>
      <c r="K259" s="168">
        <v>844960</v>
      </c>
      <c r="L259" s="168">
        <v>795995</v>
      </c>
      <c r="M259" s="168">
        <v>1300</v>
      </c>
      <c r="N259" s="168">
        <v>1300</v>
      </c>
    </row>
    <row r="260" spans="1:14" x14ac:dyDescent="0.25">
      <c r="A260" s="167" t="s">
        <v>558</v>
      </c>
      <c r="B260" s="167" t="s">
        <v>166</v>
      </c>
      <c r="C260" s="167" t="s">
        <v>167</v>
      </c>
      <c r="D260" s="167" t="s">
        <v>554</v>
      </c>
      <c r="E260" s="168">
        <v>40000000</v>
      </c>
      <c r="F260" s="168">
        <v>40000000</v>
      </c>
      <c r="G260" s="168">
        <v>40000000</v>
      </c>
      <c r="H260" s="168">
        <v>0</v>
      </c>
      <c r="I260" s="168">
        <v>1283050</v>
      </c>
      <c r="J260" s="168">
        <v>0</v>
      </c>
      <c r="K260" s="168">
        <v>31207100</v>
      </c>
      <c r="L260" s="168">
        <v>31207100</v>
      </c>
      <c r="M260" s="168">
        <v>7509850</v>
      </c>
      <c r="N260" s="168">
        <v>7509850</v>
      </c>
    </row>
    <row r="261" spans="1:14" x14ac:dyDescent="0.25">
      <c r="A261" s="167" t="s">
        <v>558</v>
      </c>
      <c r="B261" s="167" t="s">
        <v>168</v>
      </c>
      <c r="C261" s="167" t="s">
        <v>169</v>
      </c>
      <c r="D261" s="167" t="s">
        <v>554</v>
      </c>
      <c r="E261" s="168">
        <v>3000000</v>
      </c>
      <c r="F261" s="168">
        <v>3000000</v>
      </c>
      <c r="G261" s="168">
        <v>3000000</v>
      </c>
      <c r="H261" s="168">
        <v>0</v>
      </c>
      <c r="I261" s="168">
        <v>0</v>
      </c>
      <c r="J261" s="168">
        <v>0</v>
      </c>
      <c r="K261" s="168">
        <v>2297600.92</v>
      </c>
      <c r="L261" s="168">
        <v>2297600.92</v>
      </c>
      <c r="M261" s="168">
        <v>702399.08</v>
      </c>
      <c r="N261" s="168">
        <v>702399.08</v>
      </c>
    </row>
    <row r="262" spans="1:14" x14ac:dyDescent="0.25">
      <c r="A262" s="167" t="s">
        <v>558</v>
      </c>
      <c r="B262" s="167" t="s">
        <v>170</v>
      </c>
      <c r="C262" s="167" t="s">
        <v>171</v>
      </c>
      <c r="D262" s="167" t="s">
        <v>554</v>
      </c>
      <c r="E262" s="168">
        <v>4554000</v>
      </c>
      <c r="F262" s="168">
        <v>4554000</v>
      </c>
      <c r="G262" s="168">
        <v>4554000</v>
      </c>
      <c r="H262" s="168">
        <v>0</v>
      </c>
      <c r="I262" s="168">
        <v>0</v>
      </c>
      <c r="J262" s="168">
        <v>0</v>
      </c>
      <c r="K262" s="168">
        <v>4153451.28</v>
      </c>
      <c r="L262" s="168">
        <v>4153451.28</v>
      </c>
      <c r="M262" s="168">
        <v>400548.72</v>
      </c>
      <c r="N262" s="168">
        <v>400548.72</v>
      </c>
    </row>
    <row r="263" spans="1:14" x14ac:dyDescent="0.25">
      <c r="A263" s="167" t="s">
        <v>558</v>
      </c>
      <c r="B263" s="167" t="s">
        <v>172</v>
      </c>
      <c r="C263" s="167" t="s">
        <v>173</v>
      </c>
      <c r="D263" s="167" t="s">
        <v>554</v>
      </c>
      <c r="E263" s="168">
        <v>70000000</v>
      </c>
      <c r="F263" s="168">
        <v>72500000</v>
      </c>
      <c r="G263" s="168">
        <v>72500000</v>
      </c>
      <c r="H263" s="168">
        <v>0</v>
      </c>
      <c r="I263" s="168">
        <v>627083</v>
      </c>
      <c r="J263" s="168">
        <v>0</v>
      </c>
      <c r="K263" s="168">
        <v>59677257</v>
      </c>
      <c r="L263" s="168">
        <v>50804340</v>
      </c>
      <c r="M263" s="168">
        <v>12195660</v>
      </c>
      <c r="N263" s="168">
        <v>12195660</v>
      </c>
    </row>
    <row r="264" spans="1:14" x14ac:dyDescent="0.25">
      <c r="A264" s="167" t="s">
        <v>558</v>
      </c>
      <c r="B264" s="167" t="s">
        <v>174</v>
      </c>
      <c r="C264" s="167" t="s">
        <v>175</v>
      </c>
      <c r="D264" s="167" t="s">
        <v>554</v>
      </c>
      <c r="E264" s="168">
        <v>70000000</v>
      </c>
      <c r="F264" s="168">
        <v>70000000</v>
      </c>
      <c r="G264" s="168">
        <v>70000000</v>
      </c>
      <c r="H264" s="168">
        <v>0</v>
      </c>
      <c r="I264" s="168">
        <v>627083</v>
      </c>
      <c r="J264" s="168">
        <v>0</v>
      </c>
      <c r="K264" s="168">
        <v>59677257</v>
      </c>
      <c r="L264" s="168">
        <v>50804340</v>
      </c>
      <c r="M264" s="168">
        <v>9695660</v>
      </c>
      <c r="N264" s="168">
        <v>9695660</v>
      </c>
    </row>
    <row r="265" spans="1:14" x14ac:dyDescent="0.25">
      <c r="A265" s="167" t="s">
        <v>558</v>
      </c>
      <c r="B265" s="167" t="s">
        <v>174</v>
      </c>
      <c r="C265" s="167" t="s">
        <v>175</v>
      </c>
      <c r="D265" s="167" t="s">
        <v>556</v>
      </c>
      <c r="E265" s="168">
        <v>0</v>
      </c>
      <c r="F265" s="168">
        <v>2500000</v>
      </c>
      <c r="G265" s="168">
        <v>2500000</v>
      </c>
      <c r="H265" s="168">
        <v>0</v>
      </c>
      <c r="I265" s="168">
        <v>0</v>
      </c>
      <c r="J265" s="168">
        <v>0</v>
      </c>
      <c r="K265" s="168">
        <v>0</v>
      </c>
      <c r="L265" s="168">
        <v>0</v>
      </c>
      <c r="M265" s="168">
        <v>2500000</v>
      </c>
      <c r="N265" s="168">
        <v>2500000</v>
      </c>
    </row>
    <row r="266" spans="1:14" x14ac:dyDescent="0.25">
      <c r="A266" s="167" t="s">
        <v>558</v>
      </c>
      <c r="B266" s="167" t="s">
        <v>176</v>
      </c>
      <c r="C266" s="167" t="s">
        <v>177</v>
      </c>
      <c r="D266" s="167" t="s">
        <v>554</v>
      </c>
      <c r="E266" s="168">
        <v>8000000</v>
      </c>
      <c r="F266" s="168">
        <v>8000000</v>
      </c>
      <c r="G266" s="168">
        <v>8000000</v>
      </c>
      <c r="H266" s="168">
        <v>0</v>
      </c>
      <c r="I266" s="168">
        <v>0</v>
      </c>
      <c r="J266" s="168">
        <v>0</v>
      </c>
      <c r="K266" s="168">
        <v>3116600</v>
      </c>
      <c r="L266" s="168">
        <v>3116600</v>
      </c>
      <c r="M266" s="168">
        <v>4883400</v>
      </c>
      <c r="N266" s="168">
        <v>4883400</v>
      </c>
    </row>
    <row r="267" spans="1:14" x14ac:dyDescent="0.25">
      <c r="A267" s="167" t="s">
        <v>558</v>
      </c>
      <c r="B267" s="167" t="s">
        <v>317</v>
      </c>
      <c r="C267" s="167" t="s">
        <v>318</v>
      </c>
      <c r="D267" s="167" t="s">
        <v>554</v>
      </c>
      <c r="E267" s="168">
        <v>8000000</v>
      </c>
      <c r="F267" s="168">
        <v>8000000</v>
      </c>
      <c r="G267" s="168">
        <v>8000000</v>
      </c>
      <c r="H267" s="168">
        <v>0</v>
      </c>
      <c r="I267" s="168">
        <v>0</v>
      </c>
      <c r="J267" s="168">
        <v>0</v>
      </c>
      <c r="K267" s="168">
        <v>3116600</v>
      </c>
      <c r="L267" s="168">
        <v>3116600</v>
      </c>
      <c r="M267" s="168">
        <v>4883400</v>
      </c>
      <c r="N267" s="168">
        <v>4883400</v>
      </c>
    </row>
    <row r="268" spans="1:14" x14ac:dyDescent="0.25">
      <c r="A268" s="167" t="s">
        <v>558</v>
      </c>
      <c r="B268" s="167" t="s">
        <v>182</v>
      </c>
      <c r="C268" s="167" t="s">
        <v>183</v>
      </c>
      <c r="D268" s="167" t="s">
        <v>554</v>
      </c>
      <c r="E268" s="168">
        <v>91120500</v>
      </c>
      <c r="F268" s="168">
        <v>104020500</v>
      </c>
      <c r="G268" s="168">
        <v>104020500</v>
      </c>
      <c r="H268" s="168">
        <v>0</v>
      </c>
      <c r="I268" s="168">
        <v>1448544.6</v>
      </c>
      <c r="J268" s="168">
        <v>0</v>
      </c>
      <c r="K268" s="168">
        <v>76139764.319999993</v>
      </c>
      <c r="L268" s="168">
        <v>67836397.200000003</v>
      </c>
      <c r="M268" s="168">
        <v>26432191.079999998</v>
      </c>
      <c r="N268" s="168">
        <v>26432191.079999998</v>
      </c>
    </row>
    <row r="269" spans="1:14" x14ac:dyDescent="0.25">
      <c r="A269" s="167" t="s">
        <v>558</v>
      </c>
      <c r="B269" s="167" t="s">
        <v>184</v>
      </c>
      <c r="C269" s="167" t="s">
        <v>185</v>
      </c>
      <c r="D269" s="167" t="s">
        <v>554</v>
      </c>
      <c r="E269" s="168">
        <v>7245000</v>
      </c>
      <c r="F269" s="168">
        <v>22145000</v>
      </c>
      <c r="G269" s="168">
        <v>22145000</v>
      </c>
      <c r="H269" s="168">
        <v>0</v>
      </c>
      <c r="I269" s="168">
        <v>0</v>
      </c>
      <c r="J269" s="168">
        <v>0</v>
      </c>
      <c r="K269" s="168">
        <v>14447381.25</v>
      </c>
      <c r="L269" s="168">
        <v>12020798.02</v>
      </c>
      <c r="M269" s="168">
        <v>7697618.75</v>
      </c>
      <c r="N269" s="168">
        <v>7697618.75</v>
      </c>
    </row>
    <row r="270" spans="1:14" x14ac:dyDescent="0.25">
      <c r="A270" s="167" t="s">
        <v>558</v>
      </c>
      <c r="B270" s="167" t="s">
        <v>342</v>
      </c>
      <c r="C270" s="167" t="s">
        <v>343</v>
      </c>
      <c r="D270" s="167" t="s">
        <v>554</v>
      </c>
      <c r="E270" s="168">
        <v>4036500</v>
      </c>
      <c r="F270" s="168">
        <v>4036500</v>
      </c>
      <c r="G270" s="168">
        <v>4036500</v>
      </c>
      <c r="H270" s="168">
        <v>0</v>
      </c>
      <c r="I270" s="168">
        <v>0</v>
      </c>
      <c r="J270" s="168">
        <v>0</v>
      </c>
      <c r="K270" s="168">
        <v>1438918.75</v>
      </c>
      <c r="L270" s="168">
        <v>1438918.75</v>
      </c>
      <c r="M270" s="168">
        <v>2597581.25</v>
      </c>
      <c r="N270" s="168">
        <v>2597581.25</v>
      </c>
    </row>
    <row r="271" spans="1:14" x14ac:dyDescent="0.25">
      <c r="A271" s="167" t="s">
        <v>558</v>
      </c>
      <c r="B271" s="167" t="s">
        <v>186</v>
      </c>
      <c r="C271" s="167" t="s">
        <v>187</v>
      </c>
      <c r="D271" s="167" t="s">
        <v>554</v>
      </c>
      <c r="E271" s="168">
        <v>25875000</v>
      </c>
      <c r="F271" s="168">
        <v>25875000</v>
      </c>
      <c r="G271" s="168">
        <v>25875000</v>
      </c>
      <c r="H271" s="168">
        <v>0</v>
      </c>
      <c r="I271" s="168">
        <v>27500</v>
      </c>
      <c r="J271" s="168">
        <v>0</v>
      </c>
      <c r="K271" s="168">
        <v>23881584.329999998</v>
      </c>
      <c r="L271" s="168">
        <v>20849800.440000001</v>
      </c>
      <c r="M271" s="168">
        <v>1965915.67</v>
      </c>
      <c r="N271" s="168">
        <v>1965915.67</v>
      </c>
    </row>
    <row r="272" spans="1:14" x14ac:dyDescent="0.25">
      <c r="A272" s="167" t="s">
        <v>558</v>
      </c>
      <c r="B272" s="167" t="s">
        <v>188</v>
      </c>
      <c r="C272" s="167" t="s">
        <v>189</v>
      </c>
      <c r="D272" s="167" t="s">
        <v>554</v>
      </c>
      <c r="E272" s="168">
        <v>4800000</v>
      </c>
      <c r="F272" s="168">
        <v>4800000</v>
      </c>
      <c r="G272" s="168">
        <v>4800000</v>
      </c>
      <c r="H272" s="168">
        <v>0</v>
      </c>
      <c r="I272" s="168">
        <v>0</v>
      </c>
      <c r="J272" s="168">
        <v>0</v>
      </c>
      <c r="K272" s="168">
        <v>4115000</v>
      </c>
      <c r="L272" s="168">
        <v>3490000</v>
      </c>
      <c r="M272" s="168">
        <v>685000</v>
      </c>
      <c r="N272" s="168">
        <v>685000</v>
      </c>
    </row>
    <row r="273" spans="1:14" x14ac:dyDescent="0.25">
      <c r="A273" s="167" t="s">
        <v>558</v>
      </c>
      <c r="B273" s="167" t="s">
        <v>190</v>
      </c>
      <c r="C273" s="167" t="s">
        <v>191</v>
      </c>
      <c r="D273" s="167" t="s">
        <v>554</v>
      </c>
      <c r="E273" s="168">
        <v>11364000</v>
      </c>
      <c r="F273" s="168">
        <v>9364000</v>
      </c>
      <c r="G273" s="168">
        <v>9364000</v>
      </c>
      <c r="H273" s="168">
        <v>0</v>
      </c>
      <c r="I273" s="168">
        <v>0.6</v>
      </c>
      <c r="J273" s="168">
        <v>0</v>
      </c>
      <c r="K273" s="168">
        <v>7567986.5999999996</v>
      </c>
      <c r="L273" s="168">
        <v>7507986.5999999996</v>
      </c>
      <c r="M273" s="168">
        <v>1796012.8</v>
      </c>
      <c r="N273" s="168">
        <v>1796012.8</v>
      </c>
    </row>
    <row r="274" spans="1:14" x14ac:dyDescent="0.25">
      <c r="A274" s="167" t="s">
        <v>558</v>
      </c>
      <c r="B274" s="167" t="s">
        <v>192</v>
      </c>
      <c r="C274" s="167" t="s">
        <v>193</v>
      </c>
      <c r="D274" s="167" t="s">
        <v>554</v>
      </c>
      <c r="E274" s="168">
        <v>34700000</v>
      </c>
      <c r="F274" s="168">
        <v>34700000</v>
      </c>
      <c r="G274" s="168">
        <v>34700000</v>
      </c>
      <c r="H274" s="168">
        <v>0</v>
      </c>
      <c r="I274" s="168">
        <v>1421044</v>
      </c>
      <c r="J274" s="168">
        <v>0</v>
      </c>
      <c r="K274" s="168">
        <v>23326890.640000001</v>
      </c>
      <c r="L274" s="168">
        <v>21166890.640000001</v>
      </c>
      <c r="M274" s="168">
        <v>9952065.3599999994</v>
      </c>
      <c r="N274" s="168">
        <v>9952065.3599999994</v>
      </c>
    </row>
    <row r="275" spans="1:14" x14ac:dyDescent="0.25">
      <c r="A275" s="167" t="s">
        <v>558</v>
      </c>
      <c r="B275" s="167" t="s">
        <v>194</v>
      </c>
      <c r="C275" s="167" t="s">
        <v>195</v>
      </c>
      <c r="D275" s="167" t="s">
        <v>554</v>
      </c>
      <c r="E275" s="168">
        <v>3100000</v>
      </c>
      <c r="F275" s="168">
        <v>3100000</v>
      </c>
      <c r="G275" s="168">
        <v>3100000</v>
      </c>
      <c r="H275" s="168">
        <v>0</v>
      </c>
      <c r="I275" s="168">
        <v>0</v>
      </c>
      <c r="J275" s="168">
        <v>0</v>
      </c>
      <c r="K275" s="168">
        <v>1362002.75</v>
      </c>
      <c r="L275" s="168">
        <v>1362002.75</v>
      </c>
      <c r="M275" s="168">
        <v>1737997.25</v>
      </c>
      <c r="N275" s="168">
        <v>1737997.25</v>
      </c>
    </row>
    <row r="276" spans="1:14" x14ac:dyDescent="0.25">
      <c r="A276" s="167" t="s">
        <v>558</v>
      </c>
      <c r="B276" s="167" t="s">
        <v>196</v>
      </c>
      <c r="C276" s="167" t="s">
        <v>197</v>
      </c>
      <c r="D276" s="167" t="s">
        <v>554</v>
      </c>
      <c r="E276" s="168">
        <v>1050000</v>
      </c>
      <c r="F276" s="168">
        <v>1050000</v>
      </c>
      <c r="G276" s="168">
        <v>1050000</v>
      </c>
      <c r="H276" s="168">
        <v>0</v>
      </c>
      <c r="I276" s="168">
        <v>0</v>
      </c>
      <c r="J276" s="168">
        <v>0</v>
      </c>
      <c r="K276" s="168">
        <v>671773</v>
      </c>
      <c r="L276" s="168">
        <v>600</v>
      </c>
      <c r="M276" s="168">
        <v>378227</v>
      </c>
      <c r="N276" s="168">
        <v>378227</v>
      </c>
    </row>
    <row r="277" spans="1:14" x14ac:dyDescent="0.25">
      <c r="A277" s="167" t="s">
        <v>558</v>
      </c>
      <c r="B277" s="167" t="s">
        <v>198</v>
      </c>
      <c r="C277" s="167" t="s">
        <v>199</v>
      </c>
      <c r="D277" s="167" t="s">
        <v>554</v>
      </c>
      <c r="E277" s="168">
        <v>1050000</v>
      </c>
      <c r="F277" s="168">
        <v>1050000</v>
      </c>
      <c r="G277" s="168">
        <v>1050000</v>
      </c>
      <c r="H277" s="168">
        <v>0</v>
      </c>
      <c r="I277" s="168">
        <v>0</v>
      </c>
      <c r="J277" s="168">
        <v>0</v>
      </c>
      <c r="K277" s="168">
        <v>671773</v>
      </c>
      <c r="L277" s="168">
        <v>600</v>
      </c>
      <c r="M277" s="168">
        <v>378227</v>
      </c>
      <c r="N277" s="168">
        <v>378227</v>
      </c>
    </row>
    <row r="278" spans="1:14" x14ac:dyDescent="0.25">
      <c r="A278" s="167" t="s">
        <v>558</v>
      </c>
      <c r="B278" s="167" t="s">
        <v>200</v>
      </c>
      <c r="C278" s="167" t="s">
        <v>201</v>
      </c>
      <c r="D278" s="167" t="s">
        <v>554</v>
      </c>
      <c r="E278" s="168">
        <v>3150000</v>
      </c>
      <c r="F278" s="168">
        <v>3150000</v>
      </c>
      <c r="G278" s="168">
        <v>3150000</v>
      </c>
      <c r="H278" s="168">
        <v>0</v>
      </c>
      <c r="I278" s="168">
        <v>31251</v>
      </c>
      <c r="J278" s="168">
        <v>0</v>
      </c>
      <c r="K278" s="168">
        <v>468749</v>
      </c>
      <c r="L278" s="168">
        <v>18749</v>
      </c>
      <c r="M278" s="168">
        <v>2650000</v>
      </c>
      <c r="N278" s="168">
        <v>2650000</v>
      </c>
    </row>
    <row r="279" spans="1:14" x14ac:dyDescent="0.25">
      <c r="A279" s="167" t="s">
        <v>558</v>
      </c>
      <c r="B279" s="167" t="s">
        <v>344</v>
      </c>
      <c r="C279" s="167" t="s">
        <v>345</v>
      </c>
      <c r="D279" s="167" t="s">
        <v>554</v>
      </c>
      <c r="E279" s="168">
        <v>150000</v>
      </c>
      <c r="F279" s="168">
        <v>150000</v>
      </c>
      <c r="G279" s="168">
        <v>150000</v>
      </c>
      <c r="H279" s="168">
        <v>0</v>
      </c>
      <c r="I279" s="168">
        <v>31251</v>
      </c>
      <c r="J279" s="168">
        <v>0</v>
      </c>
      <c r="K279" s="168">
        <v>18749</v>
      </c>
      <c r="L279" s="168">
        <v>18749</v>
      </c>
      <c r="M279" s="168">
        <v>100000</v>
      </c>
      <c r="N279" s="168">
        <v>100000</v>
      </c>
    </row>
    <row r="280" spans="1:14" x14ac:dyDescent="0.25">
      <c r="A280" s="167" t="s">
        <v>558</v>
      </c>
      <c r="B280" s="167" t="s">
        <v>202</v>
      </c>
      <c r="C280" s="167" t="s">
        <v>203</v>
      </c>
      <c r="D280" s="167" t="s">
        <v>554</v>
      </c>
      <c r="E280" s="168">
        <v>3000000</v>
      </c>
      <c r="F280" s="168">
        <v>3000000</v>
      </c>
      <c r="G280" s="168">
        <v>3000000</v>
      </c>
      <c r="H280" s="168">
        <v>0</v>
      </c>
      <c r="I280" s="168">
        <v>0</v>
      </c>
      <c r="J280" s="168">
        <v>0</v>
      </c>
      <c r="K280" s="168">
        <v>450000</v>
      </c>
      <c r="L280" s="168">
        <v>0</v>
      </c>
      <c r="M280" s="168">
        <v>2550000</v>
      </c>
      <c r="N280" s="168">
        <v>2550000</v>
      </c>
    </row>
    <row r="281" spans="1:14" x14ac:dyDescent="0.25">
      <c r="A281" s="167" t="s">
        <v>558</v>
      </c>
      <c r="B281" s="167" t="s">
        <v>204</v>
      </c>
      <c r="C281" s="167" t="s">
        <v>205</v>
      </c>
      <c r="D281" s="167" t="s">
        <v>554</v>
      </c>
      <c r="E281" s="168">
        <v>79199725</v>
      </c>
      <c r="F281" s="168">
        <v>74267925</v>
      </c>
      <c r="G281" s="168">
        <v>74267925</v>
      </c>
      <c r="H281" s="168">
        <v>0</v>
      </c>
      <c r="I281" s="168">
        <v>5861166.4100000001</v>
      </c>
      <c r="J281" s="168">
        <v>0</v>
      </c>
      <c r="K281" s="168">
        <v>50476336.640000001</v>
      </c>
      <c r="L281" s="168">
        <v>46494013.229999997</v>
      </c>
      <c r="M281" s="168">
        <v>17930421.949999999</v>
      </c>
      <c r="N281" s="168">
        <v>17930421.949999999</v>
      </c>
    </row>
    <row r="282" spans="1:14" x14ac:dyDescent="0.25">
      <c r="A282" s="167" t="s">
        <v>558</v>
      </c>
      <c r="B282" s="167" t="s">
        <v>206</v>
      </c>
      <c r="C282" s="167" t="s">
        <v>207</v>
      </c>
      <c r="D282" s="167" t="s">
        <v>554</v>
      </c>
      <c r="E282" s="168">
        <v>47064000</v>
      </c>
      <c r="F282" s="168">
        <v>43064000</v>
      </c>
      <c r="G282" s="168">
        <v>43064000</v>
      </c>
      <c r="H282" s="168">
        <v>0</v>
      </c>
      <c r="I282" s="168">
        <v>4160399.66</v>
      </c>
      <c r="J282" s="168">
        <v>0</v>
      </c>
      <c r="K282" s="168">
        <v>25638886.120000001</v>
      </c>
      <c r="L282" s="168">
        <v>23937210.960000001</v>
      </c>
      <c r="M282" s="168">
        <v>13264714.220000001</v>
      </c>
      <c r="N282" s="168">
        <v>13264714.220000001</v>
      </c>
    </row>
    <row r="283" spans="1:14" x14ac:dyDescent="0.25">
      <c r="A283" s="167" t="s">
        <v>558</v>
      </c>
      <c r="B283" s="167" t="s">
        <v>208</v>
      </c>
      <c r="C283" s="167" t="s">
        <v>209</v>
      </c>
      <c r="D283" s="167" t="s">
        <v>554</v>
      </c>
      <c r="E283" s="168">
        <v>27117000</v>
      </c>
      <c r="F283" s="168">
        <v>27117000</v>
      </c>
      <c r="G283" s="168">
        <v>27117000</v>
      </c>
      <c r="H283" s="168">
        <v>0</v>
      </c>
      <c r="I283" s="168">
        <v>4160399.66</v>
      </c>
      <c r="J283" s="168">
        <v>0</v>
      </c>
      <c r="K283" s="168">
        <v>21785771.329999998</v>
      </c>
      <c r="L283" s="168">
        <v>20940906.329999998</v>
      </c>
      <c r="M283" s="168">
        <v>1170829.01</v>
      </c>
      <c r="N283" s="168">
        <v>1170829.01</v>
      </c>
    </row>
    <row r="284" spans="1:14" x14ac:dyDescent="0.25">
      <c r="A284" s="167" t="s">
        <v>558</v>
      </c>
      <c r="B284" s="167" t="s">
        <v>212</v>
      </c>
      <c r="C284" s="167" t="s">
        <v>213</v>
      </c>
      <c r="D284" s="167" t="s">
        <v>554</v>
      </c>
      <c r="E284" s="168">
        <v>19872000</v>
      </c>
      <c r="F284" s="168">
        <v>15872000</v>
      </c>
      <c r="G284" s="168">
        <v>15872000</v>
      </c>
      <c r="H284" s="168">
        <v>0</v>
      </c>
      <c r="I284" s="168">
        <v>0</v>
      </c>
      <c r="J284" s="168">
        <v>0</v>
      </c>
      <c r="K284" s="168">
        <v>3780037.79</v>
      </c>
      <c r="L284" s="168">
        <v>2923227.63</v>
      </c>
      <c r="M284" s="168">
        <v>12091962.210000001</v>
      </c>
      <c r="N284" s="168">
        <v>12091962.210000001</v>
      </c>
    </row>
    <row r="285" spans="1:14" x14ac:dyDescent="0.25">
      <c r="A285" s="167" t="s">
        <v>558</v>
      </c>
      <c r="B285" s="167" t="s">
        <v>214</v>
      </c>
      <c r="C285" s="167" t="s">
        <v>215</v>
      </c>
      <c r="D285" s="167" t="s">
        <v>554</v>
      </c>
      <c r="E285" s="168">
        <v>75000</v>
      </c>
      <c r="F285" s="168">
        <v>75000</v>
      </c>
      <c r="G285" s="168">
        <v>75000</v>
      </c>
      <c r="H285" s="168">
        <v>0</v>
      </c>
      <c r="I285" s="168">
        <v>0</v>
      </c>
      <c r="J285" s="168">
        <v>0</v>
      </c>
      <c r="K285" s="168">
        <v>73077</v>
      </c>
      <c r="L285" s="168">
        <v>73077</v>
      </c>
      <c r="M285" s="168">
        <v>1923</v>
      </c>
      <c r="N285" s="168">
        <v>1923</v>
      </c>
    </row>
    <row r="286" spans="1:14" x14ac:dyDescent="0.25">
      <c r="A286" s="167" t="s">
        <v>558</v>
      </c>
      <c r="B286" s="167" t="s">
        <v>220</v>
      </c>
      <c r="C286" s="167" t="s">
        <v>221</v>
      </c>
      <c r="D286" s="167" t="s">
        <v>554</v>
      </c>
      <c r="E286" s="168">
        <v>2541500</v>
      </c>
      <c r="F286" s="168">
        <v>2541500</v>
      </c>
      <c r="G286" s="168">
        <v>2541500</v>
      </c>
      <c r="H286" s="168">
        <v>0</v>
      </c>
      <c r="I286" s="168">
        <v>25950</v>
      </c>
      <c r="J286" s="168">
        <v>0</v>
      </c>
      <c r="K286" s="168">
        <v>2296417.98</v>
      </c>
      <c r="L286" s="168">
        <v>2055442.93</v>
      </c>
      <c r="M286" s="168">
        <v>219132.02</v>
      </c>
      <c r="N286" s="168">
        <v>219132.02</v>
      </c>
    </row>
    <row r="287" spans="1:14" x14ac:dyDescent="0.25">
      <c r="A287" s="167" t="s">
        <v>558</v>
      </c>
      <c r="B287" s="167" t="s">
        <v>222</v>
      </c>
      <c r="C287" s="167" t="s">
        <v>223</v>
      </c>
      <c r="D287" s="167" t="s">
        <v>554</v>
      </c>
      <c r="E287" s="168">
        <v>75000</v>
      </c>
      <c r="F287" s="168">
        <v>75000</v>
      </c>
      <c r="G287" s="168">
        <v>75000</v>
      </c>
      <c r="H287" s="168">
        <v>0</v>
      </c>
      <c r="I287" s="168">
        <v>25950</v>
      </c>
      <c r="J287" s="168">
        <v>0</v>
      </c>
      <c r="K287" s="168">
        <v>0</v>
      </c>
      <c r="L287" s="168">
        <v>0</v>
      </c>
      <c r="M287" s="168">
        <v>49050</v>
      </c>
      <c r="N287" s="168">
        <v>49050</v>
      </c>
    </row>
    <row r="288" spans="1:14" x14ac:dyDescent="0.25">
      <c r="A288" s="167" t="s">
        <v>558</v>
      </c>
      <c r="B288" s="167" t="s">
        <v>346</v>
      </c>
      <c r="C288" s="167" t="s">
        <v>347</v>
      </c>
      <c r="D288" s="167" t="s">
        <v>554</v>
      </c>
      <c r="E288" s="168">
        <v>100000</v>
      </c>
      <c r="F288" s="168">
        <v>100000</v>
      </c>
      <c r="G288" s="168">
        <v>100000</v>
      </c>
      <c r="H288" s="168">
        <v>0</v>
      </c>
      <c r="I288" s="168">
        <v>0</v>
      </c>
      <c r="J288" s="168">
        <v>0</v>
      </c>
      <c r="K288" s="168">
        <v>93740</v>
      </c>
      <c r="L288" s="168">
        <v>0</v>
      </c>
      <c r="M288" s="168">
        <v>6260</v>
      </c>
      <c r="N288" s="168">
        <v>6260</v>
      </c>
    </row>
    <row r="289" spans="1:14" x14ac:dyDescent="0.25">
      <c r="A289" s="167" t="s">
        <v>558</v>
      </c>
      <c r="B289" s="167" t="s">
        <v>348</v>
      </c>
      <c r="C289" s="167" t="s">
        <v>349</v>
      </c>
      <c r="D289" s="167" t="s">
        <v>554</v>
      </c>
      <c r="E289" s="168">
        <v>50000</v>
      </c>
      <c r="F289" s="168">
        <v>50000</v>
      </c>
      <c r="G289" s="168">
        <v>50000</v>
      </c>
      <c r="H289" s="168">
        <v>0</v>
      </c>
      <c r="I289" s="168">
        <v>0</v>
      </c>
      <c r="J289" s="168">
        <v>0</v>
      </c>
      <c r="K289" s="168">
        <v>47417</v>
      </c>
      <c r="L289" s="168">
        <v>17970</v>
      </c>
      <c r="M289" s="168">
        <v>2583</v>
      </c>
      <c r="N289" s="168">
        <v>2583</v>
      </c>
    </row>
    <row r="290" spans="1:14" x14ac:dyDescent="0.25">
      <c r="A290" s="167" t="s">
        <v>558</v>
      </c>
      <c r="B290" s="167" t="s">
        <v>224</v>
      </c>
      <c r="C290" s="167" t="s">
        <v>225</v>
      </c>
      <c r="D290" s="167" t="s">
        <v>554</v>
      </c>
      <c r="E290" s="168">
        <v>1966500</v>
      </c>
      <c r="F290" s="168">
        <v>1966500</v>
      </c>
      <c r="G290" s="168">
        <v>1966500</v>
      </c>
      <c r="H290" s="168">
        <v>0</v>
      </c>
      <c r="I290" s="168">
        <v>0</v>
      </c>
      <c r="J290" s="168">
        <v>0</v>
      </c>
      <c r="K290" s="168">
        <v>1877857.88</v>
      </c>
      <c r="L290" s="168">
        <v>1877857.88</v>
      </c>
      <c r="M290" s="168">
        <v>88642.12</v>
      </c>
      <c r="N290" s="168">
        <v>88642.12</v>
      </c>
    </row>
    <row r="291" spans="1:14" x14ac:dyDescent="0.25">
      <c r="A291" s="167" t="s">
        <v>558</v>
      </c>
      <c r="B291" s="167" t="s">
        <v>226</v>
      </c>
      <c r="C291" s="167" t="s">
        <v>227</v>
      </c>
      <c r="D291" s="167" t="s">
        <v>554</v>
      </c>
      <c r="E291" s="168">
        <v>50000</v>
      </c>
      <c r="F291" s="168">
        <v>50000</v>
      </c>
      <c r="G291" s="168">
        <v>50000</v>
      </c>
      <c r="H291" s="168">
        <v>0</v>
      </c>
      <c r="I291" s="168">
        <v>0</v>
      </c>
      <c r="J291" s="168">
        <v>0</v>
      </c>
      <c r="K291" s="168">
        <v>36760</v>
      </c>
      <c r="L291" s="168">
        <v>36760</v>
      </c>
      <c r="M291" s="168">
        <v>13240</v>
      </c>
      <c r="N291" s="168">
        <v>13240</v>
      </c>
    </row>
    <row r="292" spans="1:14" x14ac:dyDescent="0.25">
      <c r="A292" s="167" t="s">
        <v>558</v>
      </c>
      <c r="B292" s="167" t="s">
        <v>228</v>
      </c>
      <c r="C292" s="167" t="s">
        <v>229</v>
      </c>
      <c r="D292" s="167" t="s">
        <v>554</v>
      </c>
      <c r="E292" s="168">
        <v>150000</v>
      </c>
      <c r="F292" s="168">
        <v>150000</v>
      </c>
      <c r="G292" s="168">
        <v>150000</v>
      </c>
      <c r="H292" s="168">
        <v>0</v>
      </c>
      <c r="I292" s="168">
        <v>0</v>
      </c>
      <c r="J292" s="168">
        <v>0</v>
      </c>
      <c r="K292" s="168">
        <v>122855.05</v>
      </c>
      <c r="L292" s="168">
        <v>122855.05</v>
      </c>
      <c r="M292" s="168">
        <v>27144.95</v>
      </c>
      <c r="N292" s="168">
        <v>27144.95</v>
      </c>
    </row>
    <row r="293" spans="1:14" x14ac:dyDescent="0.25">
      <c r="A293" s="167" t="s">
        <v>558</v>
      </c>
      <c r="B293" s="167" t="s">
        <v>230</v>
      </c>
      <c r="C293" s="167" t="s">
        <v>231</v>
      </c>
      <c r="D293" s="167" t="s">
        <v>554</v>
      </c>
      <c r="E293" s="168">
        <v>150000</v>
      </c>
      <c r="F293" s="168">
        <v>150000</v>
      </c>
      <c r="G293" s="168">
        <v>150000</v>
      </c>
      <c r="H293" s="168">
        <v>0</v>
      </c>
      <c r="I293" s="168">
        <v>0</v>
      </c>
      <c r="J293" s="168">
        <v>0</v>
      </c>
      <c r="K293" s="168">
        <v>117788.05</v>
      </c>
      <c r="L293" s="168">
        <v>0</v>
      </c>
      <c r="M293" s="168">
        <v>32211.95</v>
      </c>
      <c r="N293" s="168">
        <v>32211.95</v>
      </c>
    </row>
    <row r="294" spans="1:14" x14ac:dyDescent="0.25">
      <c r="A294" s="167" t="s">
        <v>558</v>
      </c>
      <c r="B294" s="167" t="s">
        <v>232</v>
      </c>
      <c r="C294" s="167" t="s">
        <v>233</v>
      </c>
      <c r="D294" s="167" t="s">
        <v>554</v>
      </c>
      <c r="E294" s="168">
        <v>603010</v>
      </c>
      <c r="F294" s="168">
        <v>603010</v>
      </c>
      <c r="G294" s="168">
        <v>603010</v>
      </c>
      <c r="H294" s="168">
        <v>0</v>
      </c>
      <c r="I294" s="168">
        <v>31636.75</v>
      </c>
      <c r="J294" s="168">
        <v>0</v>
      </c>
      <c r="K294" s="168">
        <v>309135</v>
      </c>
      <c r="L294" s="168">
        <v>15000</v>
      </c>
      <c r="M294" s="168">
        <v>262238.25</v>
      </c>
      <c r="N294" s="168">
        <v>262238.25</v>
      </c>
    </row>
    <row r="295" spans="1:14" x14ac:dyDescent="0.25">
      <c r="A295" s="167" t="s">
        <v>558</v>
      </c>
      <c r="B295" s="167" t="s">
        <v>234</v>
      </c>
      <c r="C295" s="167" t="s">
        <v>235</v>
      </c>
      <c r="D295" s="167" t="s">
        <v>554</v>
      </c>
      <c r="E295" s="168">
        <v>503010</v>
      </c>
      <c r="F295" s="168">
        <v>503010</v>
      </c>
      <c r="G295" s="168">
        <v>503010</v>
      </c>
      <c r="H295" s="168">
        <v>0</v>
      </c>
      <c r="I295" s="168">
        <v>31636.75</v>
      </c>
      <c r="J295" s="168">
        <v>0</v>
      </c>
      <c r="K295" s="168">
        <v>294135</v>
      </c>
      <c r="L295" s="168">
        <v>0</v>
      </c>
      <c r="M295" s="168">
        <v>177238.25</v>
      </c>
      <c r="N295" s="168">
        <v>177238.25</v>
      </c>
    </row>
    <row r="296" spans="1:14" x14ac:dyDescent="0.25">
      <c r="A296" s="167" t="s">
        <v>558</v>
      </c>
      <c r="B296" s="167" t="s">
        <v>236</v>
      </c>
      <c r="C296" s="167" t="s">
        <v>237</v>
      </c>
      <c r="D296" s="167" t="s">
        <v>554</v>
      </c>
      <c r="E296" s="168">
        <v>100000</v>
      </c>
      <c r="F296" s="168">
        <v>100000</v>
      </c>
      <c r="G296" s="168">
        <v>100000</v>
      </c>
      <c r="H296" s="168">
        <v>0</v>
      </c>
      <c r="I296" s="168">
        <v>0</v>
      </c>
      <c r="J296" s="168">
        <v>0</v>
      </c>
      <c r="K296" s="168">
        <v>15000</v>
      </c>
      <c r="L296" s="168">
        <v>15000</v>
      </c>
      <c r="M296" s="168">
        <v>85000</v>
      </c>
      <c r="N296" s="168">
        <v>85000</v>
      </c>
    </row>
    <row r="297" spans="1:14" x14ac:dyDescent="0.25">
      <c r="A297" s="167" t="s">
        <v>558</v>
      </c>
      <c r="B297" s="167" t="s">
        <v>238</v>
      </c>
      <c r="C297" s="167" t="s">
        <v>239</v>
      </c>
      <c r="D297" s="167" t="s">
        <v>554</v>
      </c>
      <c r="E297" s="168">
        <v>28991215</v>
      </c>
      <c r="F297" s="168">
        <v>28059415</v>
      </c>
      <c r="G297" s="168">
        <v>28059415</v>
      </c>
      <c r="H297" s="168">
        <v>0</v>
      </c>
      <c r="I297" s="168">
        <v>1643180</v>
      </c>
      <c r="J297" s="168">
        <v>0</v>
      </c>
      <c r="K297" s="168">
        <v>22231897.539999999</v>
      </c>
      <c r="L297" s="168">
        <v>20486359.34</v>
      </c>
      <c r="M297" s="168">
        <v>4184337.46</v>
      </c>
      <c r="N297" s="168">
        <v>4184337.46</v>
      </c>
    </row>
    <row r="298" spans="1:14" x14ac:dyDescent="0.25">
      <c r="A298" s="167" t="s">
        <v>558</v>
      </c>
      <c r="B298" s="167" t="s">
        <v>240</v>
      </c>
      <c r="C298" s="167" t="s">
        <v>241</v>
      </c>
      <c r="D298" s="167" t="s">
        <v>554</v>
      </c>
      <c r="E298" s="168">
        <v>3933000</v>
      </c>
      <c r="F298" s="168">
        <v>3933000</v>
      </c>
      <c r="G298" s="168">
        <v>3933000</v>
      </c>
      <c r="H298" s="168">
        <v>0</v>
      </c>
      <c r="I298" s="168">
        <v>0</v>
      </c>
      <c r="J298" s="168">
        <v>0</v>
      </c>
      <c r="K298" s="168">
        <v>2844004.24</v>
      </c>
      <c r="L298" s="168">
        <v>2695604.24</v>
      </c>
      <c r="M298" s="168">
        <v>1088995.76</v>
      </c>
      <c r="N298" s="168">
        <v>1088995.76</v>
      </c>
    </row>
    <row r="299" spans="1:14" x14ac:dyDescent="0.25">
      <c r="A299" s="167" t="s">
        <v>558</v>
      </c>
      <c r="B299" s="167" t="s">
        <v>244</v>
      </c>
      <c r="C299" s="167" t="s">
        <v>245</v>
      </c>
      <c r="D299" s="167" t="s">
        <v>554</v>
      </c>
      <c r="E299" s="168">
        <v>23850540</v>
      </c>
      <c r="F299" s="168">
        <v>21850540</v>
      </c>
      <c r="G299" s="168">
        <v>21850540</v>
      </c>
      <c r="H299" s="168">
        <v>0</v>
      </c>
      <c r="I299" s="168">
        <v>1491400</v>
      </c>
      <c r="J299" s="168">
        <v>0</v>
      </c>
      <c r="K299" s="168">
        <v>17901813.149999999</v>
      </c>
      <c r="L299" s="168">
        <v>16941064.949999999</v>
      </c>
      <c r="M299" s="168">
        <v>2457326.85</v>
      </c>
      <c r="N299" s="168">
        <v>2457326.85</v>
      </c>
    </row>
    <row r="300" spans="1:14" x14ac:dyDescent="0.25">
      <c r="A300" s="167" t="s">
        <v>558</v>
      </c>
      <c r="B300" s="167" t="s">
        <v>246</v>
      </c>
      <c r="C300" s="167" t="s">
        <v>247</v>
      </c>
      <c r="D300" s="167" t="s">
        <v>554</v>
      </c>
      <c r="E300" s="168">
        <v>0</v>
      </c>
      <c r="F300" s="168">
        <v>668200</v>
      </c>
      <c r="G300" s="168">
        <v>668200</v>
      </c>
      <c r="H300" s="168">
        <v>0</v>
      </c>
      <c r="I300" s="168">
        <v>68200</v>
      </c>
      <c r="J300" s="168">
        <v>0</v>
      </c>
      <c r="K300" s="168">
        <v>349630</v>
      </c>
      <c r="L300" s="168">
        <v>97530</v>
      </c>
      <c r="M300" s="168">
        <v>250370</v>
      </c>
      <c r="N300" s="168">
        <v>250370</v>
      </c>
    </row>
    <row r="301" spans="1:14" x14ac:dyDescent="0.25">
      <c r="A301" s="167" t="s">
        <v>558</v>
      </c>
      <c r="B301" s="167" t="s">
        <v>248</v>
      </c>
      <c r="C301" s="167" t="s">
        <v>249</v>
      </c>
      <c r="D301" s="167" t="s">
        <v>554</v>
      </c>
      <c r="E301" s="168">
        <v>800000</v>
      </c>
      <c r="F301" s="168">
        <v>800000</v>
      </c>
      <c r="G301" s="168">
        <v>800000</v>
      </c>
      <c r="H301" s="168">
        <v>0</v>
      </c>
      <c r="I301" s="168">
        <v>0</v>
      </c>
      <c r="J301" s="168">
        <v>0</v>
      </c>
      <c r="K301" s="168">
        <v>799228</v>
      </c>
      <c r="L301" s="168">
        <v>465098</v>
      </c>
      <c r="M301" s="168">
        <v>772</v>
      </c>
      <c r="N301" s="168">
        <v>772</v>
      </c>
    </row>
    <row r="302" spans="1:14" x14ac:dyDescent="0.25">
      <c r="A302" s="167" t="s">
        <v>558</v>
      </c>
      <c r="B302" s="167" t="s">
        <v>250</v>
      </c>
      <c r="C302" s="167" t="s">
        <v>251</v>
      </c>
      <c r="D302" s="167" t="s">
        <v>554</v>
      </c>
      <c r="E302" s="168">
        <v>315675</v>
      </c>
      <c r="F302" s="168">
        <v>315675</v>
      </c>
      <c r="G302" s="168">
        <v>315675</v>
      </c>
      <c r="H302" s="168">
        <v>0</v>
      </c>
      <c r="I302" s="168">
        <v>83580</v>
      </c>
      <c r="J302" s="168">
        <v>0</v>
      </c>
      <c r="K302" s="168">
        <v>14400</v>
      </c>
      <c r="L302" s="168">
        <v>14400</v>
      </c>
      <c r="M302" s="168">
        <v>217695</v>
      </c>
      <c r="N302" s="168">
        <v>217695</v>
      </c>
    </row>
    <row r="303" spans="1:14" x14ac:dyDescent="0.25">
      <c r="A303" s="167" t="s">
        <v>558</v>
      </c>
      <c r="B303" s="167" t="s">
        <v>254</v>
      </c>
      <c r="C303" s="167" t="s">
        <v>255</v>
      </c>
      <c r="D303" s="167" t="s">
        <v>554</v>
      </c>
      <c r="E303" s="168">
        <v>92000</v>
      </c>
      <c r="F303" s="168">
        <v>492000</v>
      </c>
      <c r="G303" s="168">
        <v>492000</v>
      </c>
      <c r="H303" s="168">
        <v>0</v>
      </c>
      <c r="I303" s="168">
        <v>0</v>
      </c>
      <c r="J303" s="168">
        <v>0</v>
      </c>
      <c r="K303" s="168">
        <v>322822.15000000002</v>
      </c>
      <c r="L303" s="168">
        <v>272662.15000000002</v>
      </c>
      <c r="M303" s="168">
        <v>169177.85</v>
      </c>
      <c r="N303" s="168">
        <v>169177.85</v>
      </c>
    </row>
    <row r="304" spans="1:14" x14ac:dyDescent="0.25">
      <c r="A304" s="167" t="s">
        <v>558</v>
      </c>
      <c r="B304" s="167" t="s">
        <v>286</v>
      </c>
      <c r="C304" s="167" t="s">
        <v>287</v>
      </c>
      <c r="D304" s="167" t="s">
        <v>554</v>
      </c>
      <c r="E304" s="168">
        <v>220337070</v>
      </c>
      <c r="F304" s="168">
        <v>329982070</v>
      </c>
      <c r="G304" s="168">
        <v>329982070</v>
      </c>
      <c r="H304" s="168">
        <v>6500000</v>
      </c>
      <c r="I304" s="168">
        <v>39779942.799999997</v>
      </c>
      <c r="J304" s="168">
        <v>0</v>
      </c>
      <c r="K304" s="168">
        <v>259152784.27000001</v>
      </c>
      <c r="L304" s="168">
        <v>178011298.16</v>
      </c>
      <c r="M304" s="168">
        <v>24549342.93</v>
      </c>
      <c r="N304" s="168">
        <v>24549342.93</v>
      </c>
    </row>
    <row r="305" spans="1:14" x14ac:dyDescent="0.25">
      <c r="A305" s="167" t="s">
        <v>558</v>
      </c>
      <c r="B305" s="167" t="s">
        <v>288</v>
      </c>
      <c r="C305" s="167" t="s">
        <v>289</v>
      </c>
      <c r="D305" s="167" t="s">
        <v>554</v>
      </c>
      <c r="E305" s="168">
        <v>66877620</v>
      </c>
      <c r="F305" s="168">
        <v>174214620</v>
      </c>
      <c r="G305" s="168">
        <v>174214620</v>
      </c>
      <c r="H305" s="168">
        <v>0</v>
      </c>
      <c r="I305" s="168">
        <v>8758310.7799999993</v>
      </c>
      <c r="J305" s="168">
        <v>0</v>
      </c>
      <c r="K305" s="168">
        <v>151568827.19</v>
      </c>
      <c r="L305" s="168">
        <v>115967850.19</v>
      </c>
      <c r="M305" s="168">
        <v>13887482.029999999</v>
      </c>
      <c r="N305" s="168">
        <v>13887482.029999999</v>
      </c>
    </row>
    <row r="306" spans="1:14" x14ac:dyDescent="0.25">
      <c r="A306" s="167" t="s">
        <v>558</v>
      </c>
      <c r="B306" s="167" t="s">
        <v>411</v>
      </c>
      <c r="C306" s="167" t="s">
        <v>514</v>
      </c>
      <c r="D306" s="167" t="s">
        <v>554</v>
      </c>
      <c r="E306" s="168">
        <v>0</v>
      </c>
      <c r="F306" s="168">
        <v>1200000</v>
      </c>
      <c r="G306" s="168">
        <v>1200000</v>
      </c>
      <c r="H306" s="168">
        <v>0</v>
      </c>
      <c r="I306" s="168">
        <v>0</v>
      </c>
      <c r="J306" s="168">
        <v>0</v>
      </c>
      <c r="K306" s="168">
        <v>0</v>
      </c>
      <c r="L306" s="168">
        <v>0</v>
      </c>
      <c r="M306" s="168">
        <v>1200000</v>
      </c>
      <c r="N306" s="168">
        <v>1200000</v>
      </c>
    </row>
    <row r="307" spans="1:14" x14ac:dyDescent="0.25">
      <c r="A307" s="167" t="s">
        <v>558</v>
      </c>
      <c r="B307" s="167" t="s">
        <v>292</v>
      </c>
      <c r="C307" s="167" t="s">
        <v>293</v>
      </c>
      <c r="D307" s="167" t="s">
        <v>556</v>
      </c>
      <c r="E307" s="168">
        <v>439135</v>
      </c>
      <c r="F307" s="168">
        <v>5115135</v>
      </c>
      <c r="G307" s="168">
        <v>5115135</v>
      </c>
      <c r="H307" s="168">
        <v>0</v>
      </c>
      <c r="I307" s="168">
        <v>0</v>
      </c>
      <c r="J307" s="168">
        <v>0</v>
      </c>
      <c r="K307" s="168">
        <v>2222626.87</v>
      </c>
      <c r="L307" s="168">
        <v>2222626.87</v>
      </c>
      <c r="M307" s="168">
        <v>2892508.13</v>
      </c>
      <c r="N307" s="168">
        <v>2892508.13</v>
      </c>
    </row>
    <row r="308" spans="1:14" x14ac:dyDescent="0.25">
      <c r="A308" s="167" t="s">
        <v>558</v>
      </c>
      <c r="B308" s="167" t="s">
        <v>294</v>
      </c>
      <c r="C308" s="167" t="s">
        <v>295</v>
      </c>
      <c r="D308" s="167" t="s">
        <v>556</v>
      </c>
      <c r="E308" s="168">
        <v>24099000</v>
      </c>
      <c r="F308" s="168">
        <v>19224000</v>
      </c>
      <c r="G308" s="168">
        <v>19224000</v>
      </c>
      <c r="H308" s="168">
        <v>0</v>
      </c>
      <c r="I308" s="168">
        <v>0</v>
      </c>
      <c r="J308" s="168">
        <v>0</v>
      </c>
      <c r="K308" s="168">
        <v>18289454.399999999</v>
      </c>
      <c r="L308" s="168">
        <v>15556447.4</v>
      </c>
      <c r="M308" s="168">
        <v>934545.6</v>
      </c>
      <c r="N308" s="168">
        <v>934545.6</v>
      </c>
    </row>
    <row r="309" spans="1:14" x14ac:dyDescent="0.25">
      <c r="A309" s="167" t="s">
        <v>558</v>
      </c>
      <c r="B309" s="167" t="s">
        <v>296</v>
      </c>
      <c r="C309" s="167" t="s">
        <v>297</v>
      </c>
      <c r="D309" s="167" t="s">
        <v>556</v>
      </c>
      <c r="E309" s="168">
        <v>42339485</v>
      </c>
      <c r="F309" s="168">
        <v>145825485</v>
      </c>
      <c r="G309" s="168">
        <v>145825485</v>
      </c>
      <c r="H309" s="168">
        <v>0</v>
      </c>
      <c r="I309" s="168">
        <v>8758310.7799999993</v>
      </c>
      <c r="J309" s="168">
        <v>0</v>
      </c>
      <c r="K309" s="168">
        <v>129359197.48</v>
      </c>
      <c r="L309" s="168">
        <v>96491227.480000004</v>
      </c>
      <c r="M309" s="168">
        <v>7707976.7400000002</v>
      </c>
      <c r="N309" s="168">
        <v>7707976.7400000002</v>
      </c>
    </row>
    <row r="310" spans="1:14" x14ac:dyDescent="0.25">
      <c r="A310" s="167" t="s">
        <v>558</v>
      </c>
      <c r="B310" s="167" t="s">
        <v>302</v>
      </c>
      <c r="C310" s="167" t="s">
        <v>303</v>
      </c>
      <c r="D310" s="167" t="s">
        <v>556</v>
      </c>
      <c r="E310" s="168">
        <v>0</v>
      </c>
      <c r="F310" s="168">
        <v>2850000</v>
      </c>
      <c r="G310" s="168">
        <v>2850000</v>
      </c>
      <c r="H310" s="168">
        <v>0</v>
      </c>
      <c r="I310" s="168">
        <v>0</v>
      </c>
      <c r="J310" s="168">
        <v>0</v>
      </c>
      <c r="K310" s="168">
        <v>1697548.44</v>
      </c>
      <c r="L310" s="168">
        <v>1697548.44</v>
      </c>
      <c r="M310" s="168">
        <v>1152451.56</v>
      </c>
      <c r="N310" s="168">
        <v>1152451.56</v>
      </c>
    </row>
    <row r="311" spans="1:14" x14ac:dyDescent="0.25">
      <c r="A311" s="167" t="s">
        <v>558</v>
      </c>
      <c r="B311" s="167" t="s">
        <v>304</v>
      </c>
      <c r="C311" s="167" t="s">
        <v>305</v>
      </c>
      <c r="D311" s="167" t="s">
        <v>556</v>
      </c>
      <c r="E311" s="168">
        <v>122409450</v>
      </c>
      <c r="F311" s="168">
        <v>122409450</v>
      </c>
      <c r="G311" s="168">
        <v>122409450</v>
      </c>
      <c r="H311" s="168">
        <v>6500000</v>
      </c>
      <c r="I311" s="168">
        <v>31021632.02</v>
      </c>
      <c r="J311" s="168">
        <v>0</v>
      </c>
      <c r="K311" s="168">
        <v>81598855.659999996</v>
      </c>
      <c r="L311" s="168">
        <v>44740400.890000001</v>
      </c>
      <c r="M311" s="168">
        <v>3288962.32</v>
      </c>
      <c r="N311" s="168">
        <v>3288962.32</v>
      </c>
    </row>
    <row r="312" spans="1:14" x14ac:dyDescent="0.25">
      <c r="A312" s="167" t="s">
        <v>558</v>
      </c>
      <c r="B312" s="167" t="s">
        <v>306</v>
      </c>
      <c r="C312" s="167" t="s">
        <v>307</v>
      </c>
      <c r="D312" s="167" t="s">
        <v>556</v>
      </c>
      <c r="E312" s="168">
        <v>122409450</v>
      </c>
      <c r="F312" s="168">
        <v>122409450</v>
      </c>
      <c r="G312" s="168">
        <v>122409450</v>
      </c>
      <c r="H312" s="168">
        <v>6500000</v>
      </c>
      <c r="I312" s="168">
        <v>31021632.02</v>
      </c>
      <c r="J312" s="168">
        <v>0</v>
      </c>
      <c r="K312" s="168">
        <v>81598855.659999996</v>
      </c>
      <c r="L312" s="168">
        <v>44740400.890000001</v>
      </c>
      <c r="M312" s="168">
        <v>3288962.32</v>
      </c>
      <c r="N312" s="168">
        <v>3288962.32</v>
      </c>
    </row>
    <row r="313" spans="1:14" x14ac:dyDescent="0.25">
      <c r="A313" s="167" t="s">
        <v>558</v>
      </c>
      <c r="B313" s="167" t="s">
        <v>350</v>
      </c>
      <c r="C313" s="167" t="s">
        <v>351</v>
      </c>
      <c r="D313" s="167" t="s">
        <v>556</v>
      </c>
      <c r="E313" s="168">
        <v>31050000</v>
      </c>
      <c r="F313" s="168">
        <v>33358000</v>
      </c>
      <c r="G313" s="168">
        <v>33358000</v>
      </c>
      <c r="H313" s="168">
        <v>0</v>
      </c>
      <c r="I313" s="168">
        <v>0</v>
      </c>
      <c r="J313" s="168">
        <v>0</v>
      </c>
      <c r="K313" s="168">
        <v>25985101.420000002</v>
      </c>
      <c r="L313" s="168">
        <v>17303047.079999998</v>
      </c>
      <c r="M313" s="168">
        <v>7372898.5800000001</v>
      </c>
      <c r="N313" s="168">
        <v>7372898.5800000001</v>
      </c>
    </row>
    <row r="314" spans="1:14" x14ac:dyDescent="0.25">
      <c r="A314" s="167" t="s">
        <v>558</v>
      </c>
      <c r="B314" s="167" t="s">
        <v>352</v>
      </c>
      <c r="C314" s="167" t="s">
        <v>353</v>
      </c>
      <c r="D314" s="167" t="s">
        <v>556</v>
      </c>
      <c r="E314" s="168">
        <v>31050000</v>
      </c>
      <c r="F314" s="168">
        <v>33358000</v>
      </c>
      <c r="G314" s="168">
        <v>33358000</v>
      </c>
      <c r="H314" s="168">
        <v>0</v>
      </c>
      <c r="I314" s="168">
        <v>0</v>
      </c>
      <c r="J314" s="168">
        <v>0</v>
      </c>
      <c r="K314" s="168">
        <v>25985101.420000002</v>
      </c>
      <c r="L314" s="168">
        <v>17303047.079999998</v>
      </c>
      <c r="M314" s="168">
        <v>7372898.5800000001</v>
      </c>
      <c r="N314" s="168">
        <v>7372898.5800000001</v>
      </c>
    </row>
    <row r="315" spans="1:14" x14ac:dyDescent="0.25">
      <c r="A315" s="167" t="s">
        <v>558</v>
      </c>
      <c r="B315" s="167" t="s">
        <v>256</v>
      </c>
      <c r="C315" s="167" t="s">
        <v>257</v>
      </c>
      <c r="D315" s="167" t="s">
        <v>554</v>
      </c>
      <c r="E315" s="168">
        <v>187246000</v>
      </c>
      <c r="F315" s="168">
        <v>208651784</v>
      </c>
      <c r="G315" s="168">
        <v>208651784</v>
      </c>
      <c r="H315" s="168">
        <v>0</v>
      </c>
      <c r="I315" s="168">
        <v>0</v>
      </c>
      <c r="J315" s="168">
        <v>0</v>
      </c>
      <c r="K315" s="168">
        <v>105727342.27</v>
      </c>
      <c r="L315" s="168">
        <v>105727342.27</v>
      </c>
      <c r="M315" s="168">
        <v>102924441.73</v>
      </c>
      <c r="N315" s="168">
        <v>102924441.73</v>
      </c>
    </row>
    <row r="316" spans="1:14" x14ac:dyDescent="0.25">
      <c r="A316" s="167" t="s">
        <v>558</v>
      </c>
      <c r="B316" s="167" t="s">
        <v>258</v>
      </c>
      <c r="C316" s="167" t="s">
        <v>259</v>
      </c>
      <c r="D316" s="167" t="s">
        <v>554</v>
      </c>
      <c r="E316" s="168">
        <v>54246000</v>
      </c>
      <c r="F316" s="168">
        <v>53651784</v>
      </c>
      <c r="G316" s="168">
        <v>53651784</v>
      </c>
      <c r="H316" s="168">
        <v>0</v>
      </c>
      <c r="I316" s="168">
        <v>0</v>
      </c>
      <c r="J316" s="168">
        <v>0</v>
      </c>
      <c r="K316" s="168">
        <v>48841235.719999999</v>
      </c>
      <c r="L316" s="168">
        <v>48841235.719999999</v>
      </c>
      <c r="M316" s="168">
        <v>4810548.28</v>
      </c>
      <c r="N316" s="168">
        <v>4810548.28</v>
      </c>
    </row>
    <row r="317" spans="1:14" x14ac:dyDescent="0.25">
      <c r="A317" s="167" t="s">
        <v>558</v>
      </c>
      <c r="B317" s="167" t="s">
        <v>354</v>
      </c>
      <c r="C317" s="167" t="s">
        <v>265</v>
      </c>
      <c r="D317" s="167" t="s">
        <v>554</v>
      </c>
      <c r="E317" s="168">
        <v>37907000</v>
      </c>
      <c r="F317" s="168">
        <v>36947403</v>
      </c>
      <c r="G317" s="168">
        <v>36947403</v>
      </c>
      <c r="H317" s="168">
        <v>0</v>
      </c>
      <c r="I317" s="168">
        <v>0</v>
      </c>
      <c r="J317" s="168">
        <v>0</v>
      </c>
      <c r="K317" s="168">
        <v>34130020.140000001</v>
      </c>
      <c r="L317" s="168">
        <v>34130020.140000001</v>
      </c>
      <c r="M317" s="168">
        <v>2817382.86</v>
      </c>
      <c r="N317" s="168">
        <v>2817382.86</v>
      </c>
    </row>
    <row r="318" spans="1:14" x14ac:dyDescent="0.25">
      <c r="A318" s="167" t="s">
        <v>558</v>
      </c>
      <c r="B318" s="167" t="s">
        <v>354</v>
      </c>
      <c r="C318" s="167" t="s">
        <v>265</v>
      </c>
      <c r="D318" s="167" t="s">
        <v>556</v>
      </c>
      <c r="E318" s="168">
        <v>0</v>
      </c>
      <c r="F318" s="168">
        <v>544000</v>
      </c>
      <c r="G318" s="168">
        <v>544000</v>
      </c>
      <c r="H318" s="168">
        <v>0</v>
      </c>
      <c r="I318" s="168">
        <v>0</v>
      </c>
      <c r="J318" s="168">
        <v>0</v>
      </c>
      <c r="K318" s="168">
        <v>0</v>
      </c>
      <c r="L318" s="168">
        <v>0</v>
      </c>
      <c r="M318" s="168">
        <v>544000</v>
      </c>
      <c r="N318" s="168">
        <v>544000</v>
      </c>
    </row>
    <row r="319" spans="1:14" x14ac:dyDescent="0.25">
      <c r="A319" s="167" t="s">
        <v>558</v>
      </c>
      <c r="B319" s="167" t="s">
        <v>355</v>
      </c>
      <c r="C319" s="167" t="s">
        <v>267</v>
      </c>
      <c r="D319" s="167" t="s">
        <v>554</v>
      </c>
      <c r="E319" s="168">
        <v>16339000</v>
      </c>
      <c r="F319" s="168">
        <v>15925381</v>
      </c>
      <c r="G319" s="168">
        <v>15925381</v>
      </c>
      <c r="H319" s="168">
        <v>0</v>
      </c>
      <c r="I319" s="168">
        <v>0</v>
      </c>
      <c r="J319" s="168">
        <v>0</v>
      </c>
      <c r="K319" s="168">
        <v>14711215.58</v>
      </c>
      <c r="L319" s="168">
        <v>14711215.58</v>
      </c>
      <c r="M319" s="168">
        <v>1214165.42</v>
      </c>
      <c r="N319" s="168">
        <v>1214165.42</v>
      </c>
    </row>
    <row r="320" spans="1:14" x14ac:dyDescent="0.25">
      <c r="A320" s="167" t="s">
        <v>558</v>
      </c>
      <c r="B320" s="167" t="s">
        <v>355</v>
      </c>
      <c r="C320" s="167" t="s">
        <v>267</v>
      </c>
      <c r="D320" s="167" t="s">
        <v>556</v>
      </c>
      <c r="E320" s="168">
        <v>0</v>
      </c>
      <c r="F320" s="168">
        <v>235000</v>
      </c>
      <c r="G320" s="168">
        <v>235000</v>
      </c>
      <c r="H320" s="168">
        <v>0</v>
      </c>
      <c r="I320" s="168">
        <v>0</v>
      </c>
      <c r="J320" s="168">
        <v>0</v>
      </c>
      <c r="K320" s="168">
        <v>0</v>
      </c>
      <c r="L320" s="168">
        <v>0</v>
      </c>
      <c r="M320" s="168">
        <v>235000</v>
      </c>
      <c r="N320" s="168">
        <v>235000</v>
      </c>
    </row>
    <row r="321" spans="1:14" x14ac:dyDescent="0.25">
      <c r="A321" s="167" t="s">
        <v>558</v>
      </c>
      <c r="B321" s="167" t="s">
        <v>268</v>
      </c>
      <c r="C321" s="167" t="s">
        <v>269</v>
      </c>
      <c r="D321" s="167" t="s">
        <v>554</v>
      </c>
      <c r="E321" s="168">
        <v>130000000</v>
      </c>
      <c r="F321" s="168">
        <v>152000000</v>
      </c>
      <c r="G321" s="168">
        <v>152000000</v>
      </c>
      <c r="H321" s="168">
        <v>0</v>
      </c>
      <c r="I321" s="168">
        <v>0</v>
      </c>
      <c r="J321" s="168">
        <v>0</v>
      </c>
      <c r="K321" s="168">
        <v>56651946.549999997</v>
      </c>
      <c r="L321" s="168">
        <v>56651946.549999997</v>
      </c>
      <c r="M321" s="168">
        <v>95348053.450000003</v>
      </c>
      <c r="N321" s="168">
        <v>95348053.450000003</v>
      </c>
    </row>
    <row r="322" spans="1:14" x14ac:dyDescent="0.25">
      <c r="A322" s="167" t="s">
        <v>558</v>
      </c>
      <c r="B322" s="167" t="s">
        <v>270</v>
      </c>
      <c r="C322" s="167" t="s">
        <v>271</v>
      </c>
      <c r="D322" s="167" t="s">
        <v>554</v>
      </c>
      <c r="E322" s="168">
        <v>110000000</v>
      </c>
      <c r="F322" s="168">
        <v>110000000</v>
      </c>
      <c r="G322" s="168">
        <v>110000000</v>
      </c>
      <c r="H322" s="168">
        <v>0</v>
      </c>
      <c r="I322" s="168">
        <v>0</v>
      </c>
      <c r="J322" s="168">
        <v>0</v>
      </c>
      <c r="K322" s="168">
        <v>32001506.550000001</v>
      </c>
      <c r="L322" s="168">
        <v>32001506.550000001</v>
      </c>
      <c r="M322" s="168">
        <v>77998493.450000003</v>
      </c>
      <c r="N322" s="168">
        <v>77998493.450000003</v>
      </c>
    </row>
    <row r="323" spans="1:14" x14ac:dyDescent="0.25">
      <c r="A323" s="167" t="s">
        <v>558</v>
      </c>
      <c r="B323" s="167" t="s">
        <v>272</v>
      </c>
      <c r="C323" s="167" t="s">
        <v>273</v>
      </c>
      <c r="D323" s="167" t="s">
        <v>554</v>
      </c>
      <c r="E323" s="168">
        <v>20000000</v>
      </c>
      <c r="F323" s="168">
        <v>42000000</v>
      </c>
      <c r="G323" s="168">
        <v>42000000</v>
      </c>
      <c r="H323" s="168">
        <v>0</v>
      </c>
      <c r="I323" s="168">
        <v>0</v>
      </c>
      <c r="J323" s="168">
        <v>0</v>
      </c>
      <c r="K323" s="168">
        <v>24650440</v>
      </c>
      <c r="L323" s="168">
        <v>24650440</v>
      </c>
      <c r="M323" s="168">
        <v>17349560</v>
      </c>
      <c r="N323" s="168">
        <v>17349560</v>
      </c>
    </row>
    <row r="324" spans="1:14" x14ac:dyDescent="0.25">
      <c r="A324" s="167" t="s">
        <v>558</v>
      </c>
      <c r="B324" s="167" t="s">
        <v>274</v>
      </c>
      <c r="C324" s="167" t="s">
        <v>275</v>
      </c>
      <c r="D324" s="167" t="s">
        <v>554</v>
      </c>
      <c r="E324" s="168">
        <v>3000000</v>
      </c>
      <c r="F324" s="168">
        <v>3000000</v>
      </c>
      <c r="G324" s="168">
        <v>3000000</v>
      </c>
      <c r="H324" s="168">
        <v>0</v>
      </c>
      <c r="I324" s="168">
        <v>0</v>
      </c>
      <c r="J324" s="168">
        <v>0</v>
      </c>
      <c r="K324" s="168">
        <v>234160</v>
      </c>
      <c r="L324" s="168">
        <v>234160</v>
      </c>
      <c r="M324" s="168">
        <v>2765840</v>
      </c>
      <c r="N324" s="168">
        <v>2765840</v>
      </c>
    </row>
    <row r="325" spans="1:14" x14ac:dyDescent="0.25">
      <c r="A325" s="167" t="s">
        <v>558</v>
      </c>
      <c r="B325" s="167" t="s">
        <v>276</v>
      </c>
      <c r="C325" s="167" t="s">
        <v>277</v>
      </c>
      <c r="D325" s="167" t="s">
        <v>554</v>
      </c>
      <c r="E325" s="168">
        <v>3000000</v>
      </c>
      <c r="F325" s="168">
        <v>3000000</v>
      </c>
      <c r="G325" s="168">
        <v>3000000</v>
      </c>
      <c r="H325" s="168">
        <v>0</v>
      </c>
      <c r="I325" s="168">
        <v>0</v>
      </c>
      <c r="J325" s="168">
        <v>0</v>
      </c>
      <c r="K325" s="168">
        <v>234160</v>
      </c>
      <c r="L325" s="168">
        <v>234160</v>
      </c>
      <c r="M325" s="168">
        <v>2765840</v>
      </c>
      <c r="N325" s="168">
        <v>2765840</v>
      </c>
    </row>
    <row r="326" spans="1:14" x14ac:dyDescent="0.25">
      <c r="A326" s="167" t="s">
        <v>558</v>
      </c>
      <c r="B326" s="167" t="s">
        <v>602</v>
      </c>
      <c r="C326" s="167" t="s">
        <v>603</v>
      </c>
      <c r="D326" s="167" t="s">
        <v>554</v>
      </c>
      <c r="E326" s="168">
        <v>0</v>
      </c>
      <c r="F326" s="168">
        <v>212583910</v>
      </c>
      <c r="G326" s="168">
        <v>118071285</v>
      </c>
      <c r="H326" s="168">
        <v>0</v>
      </c>
      <c r="I326" s="168">
        <v>0</v>
      </c>
      <c r="J326" s="168">
        <v>0</v>
      </c>
      <c r="K326" s="168">
        <v>0</v>
      </c>
      <c r="L326" s="168">
        <v>0</v>
      </c>
      <c r="M326" s="168">
        <v>212583910</v>
      </c>
      <c r="N326" s="168">
        <v>118071285</v>
      </c>
    </row>
    <row r="327" spans="1:14" x14ac:dyDescent="0.25">
      <c r="A327" s="167" t="s">
        <v>558</v>
      </c>
      <c r="B327" s="167" t="s">
        <v>600</v>
      </c>
      <c r="C327" s="167" t="s">
        <v>601</v>
      </c>
      <c r="D327" s="167" t="s">
        <v>554</v>
      </c>
      <c r="E327" s="168">
        <v>0</v>
      </c>
      <c r="F327" s="168">
        <v>212583910</v>
      </c>
      <c r="G327" s="168">
        <v>118071285</v>
      </c>
      <c r="H327" s="168">
        <v>0</v>
      </c>
      <c r="I327" s="168">
        <v>0</v>
      </c>
      <c r="J327" s="168">
        <v>0</v>
      </c>
      <c r="K327" s="168">
        <v>0</v>
      </c>
      <c r="L327" s="168">
        <v>0</v>
      </c>
      <c r="M327" s="168">
        <v>212583910</v>
      </c>
      <c r="N327" s="168">
        <v>118071285</v>
      </c>
    </row>
    <row r="328" spans="1:14" x14ac:dyDescent="0.25">
      <c r="A328" s="167" t="s">
        <v>558</v>
      </c>
      <c r="B328" s="167" t="s">
        <v>598</v>
      </c>
      <c r="C328" s="167" t="s">
        <v>599</v>
      </c>
      <c r="D328" s="167" t="s">
        <v>554</v>
      </c>
      <c r="E328" s="168">
        <v>0</v>
      </c>
      <c r="F328" s="168">
        <v>198802106</v>
      </c>
      <c r="G328" s="168">
        <v>110416730</v>
      </c>
      <c r="H328" s="168">
        <v>0</v>
      </c>
      <c r="I328" s="168">
        <v>0</v>
      </c>
      <c r="J328" s="168">
        <v>0</v>
      </c>
      <c r="K328" s="168">
        <v>0</v>
      </c>
      <c r="L328" s="168">
        <v>0</v>
      </c>
      <c r="M328" s="168">
        <v>198802106</v>
      </c>
      <c r="N328" s="168">
        <v>110416730</v>
      </c>
    </row>
    <row r="329" spans="1:14" x14ac:dyDescent="0.25">
      <c r="A329" s="167" t="s">
        <v>558</v>
      </c>
      <c r="B329" s="167" t="s">
        <v>598</v>
      </c>
      <c r="C329" s="167" t="s">
        <v>599</v>
      </c>
      <c r="D329" s="167" t="s">
        <v>556</v>
      </c>
      <c r="E329" s="168">
        <v>0</v>
      </c>
      <c r="F329" s="168">
        <v>13781804</v>
      </c>
      <c r="G329" s="168">
        <v>7654555</v>
      </c>
      <c r="H329" s="168">
        <v>0</v>
      </c>
      <c r="I329" s="168">
        <v>0</v>
      </c>
      <c r="J329" s="168">
        <v>0</v>
      </c>
      <c r="K329" s="168">
        <v>0</v>
      </c>
      <c r="L329" s="168">
        <v>0</v>
      </c>
      <c r="M329" s="168">
        <v>13781804</v>
      </c>
      <c r="N329" s="168">
        <v>7654555</v>
      </c>
    </row>
    <row r="330" spans="1:14" x14ac:dyDescent="0.25">
      <c r="A330" s="169" t="s">
        <v>558</v>
      </c>
      <c r="B330" s="169"/>
      <c r="C330" s="169"/>
      <c r="D330" s="169"/>
      <c r="E330" s="170"/>
      <c r="F330" s="170">
        <v>40338753140</v>
      </c>
      <c r="G330" s="170">
        <v>39960702640</v>
      </c>
      <c r="H330" s="170">
        <v>26000000</v>
      </c>
      <c r="I330" s="170">
        <v>546369070.63999999</v>
      </c>
      <c r="J330" s="170">
        <v>0</v>
      </c>
      <c r="K330" s="170">
        <v>34924359917.400002</v>
      </c>
      <c r="L330" s="170">
        <v>34224858498.400002</v>
      </c>
      <c r="M330" s="170">
        <v>4842024151.96</v>
      </c>
      <c r="N330" s="170">
        <v>4463973651.96</v>
      </c>
    </row>
    <row r="331" spans="1:14" x14ac:dyDescent="0.25">
      <c r="A331" s="167">
        <v>214783</v>
      </c>
      <c r="B331" s="167"/>
      <c r="C331" s="167"/>
      <c r="D331" s="167" t="s">
        <v>554</v>
      </c>
      <c r="E331" s="168">
        <v>108020956000</v>
      </c>
      <c r="F331" s="168">
        <v>108178679615</v>
      </c>
      <c r="G331" s="168">
        <v>108035895614.8</v>
      </c>
      <c r="H331" s="168">
        <v>137288060.28</v>
      </c>
      <c r="I331" s="168">
        <v>5048648477.9399996</v>
      </c>
      <c r="J331" s="168">
        <v>0</v>
      </c>
      <c r="K331" s="168">
        <v>88838863182.520004</v>
      </c>
      <c r="L331" s="168">
        <v>85520795505.429993</v>
      </c>
      <c r="M331" s="168">
        <v>14153879894.26</v>
      </c>
      <c r="N331" s="168">
        <v>14011095894.059999</v>
      </c>
    </row>
    <row r="332" spans="1:14" x14ac:dyDescent="0.25">
      <c r="A332" s="167" t="s">
        <v>559</v>
      </c>
      <c r="B332" s="167" t="s">
        <v>92</v>
      </c>
      <c r="C332" s="167" t="s">
        <v>93</v>
      </c>
      <c r="D332" s="167" t="s">
        <v>554</v>
      </c>
      <c r="E332" s="168">
        <v>63364527000</v>
      </c>
      <c r="F332" s="168">
        <v>62856100477</v>
      </c>
      <c r="G332" s="168">
        <v>62856100477</v>
      </c>
      <c r="H332" s="168">
        <v>0</v>
      </c>
      <c r="I332" s="168">
        <v>0</v>
      </c>
      <c r="J332" s="168">
        <v>0</v>
      </c>
      <c r="K332" s="168">
        <v>60276370678.18</v>
      </c>
      <c r="L332" s="168">
        <v>60276370678.18</v>
      </c>
      <c r="M332" s="168">
        <v>2579729798.8200002</v>
      </c>
      <c r="N332" s="168">
        <v>2579729798.8200002</v>
      </c>
    </row>
    <row r="333" spans="1:14" x14ac:dyDescent="0.25">
      <c r="A333" s="167" t="s">
        <v>559</v>
      </c>
      <c r="B333" s="167" t="s">
        <v>94</v>
      </c>
      <c r="C333" s="167" t="s">
        <v>95</v>
      </c>
      <c r="D333" s="167" t="s">
        <v>554</v>
      </c>
      <c r="E333" s="168">
        <v>23197505000</v>
      </c>
      <c r="F333" s="168">
        <v>23014960048</v>
      </c>
      <c r="G333" s="168">
        <v>23014960048</v>
      </c>
      <c r="H333" s="168">
        <v>0</v>
      </c>
      <c r="I333" s="168">
        <v>0</v>
      </c>
      <c r="J333" s="168">
        <v>0</v>
      </c>
      <c r="K333" s="168">
        <v>22050366065.580002</v>
      </c>
      <c r="L333" s="168">
        <v>22050366065.580002</v>
      </c>
      <c r="M333" s="168">
        <v>964593982.41999996</v>
      </c>
      <c r="N333" s="168">
        <v>964593982.41999996</v>
      </c>
    </row>
    <row r="334" spans="1:14" x14ac:dyDescent="0.25">
      <c r="A334" s="167" t="s">
        <v>559</v>
      </c>
      <c r="B334" s="167" t="s">
        <v>96</v>
      </c>
      <c r="C334" s="167" t="s">
        <v>97</v>
      </c>
      <c r="D334" s="167" t="s">
        <v>554</v>
      </c>
      <c r="E334" s="168">
        <v>22933641000</v>
      </c>
      <c r="F334" s="168">
        <v>22752101238</v>
      </c>
      <c r="G334" s="168">
        <v>22752101238</v>
      </c>
      <c r="H334" s="168">
        <v>0</v>
      </c>
      <c r="I334" s="168">
        <v>0</v>
      </c>
      <c r="J334" s="168">
        <v>0</v>
      </c>
      <c r="K334" s="168">
        <v>21807268544.599998</v>
      </c>
      <c r="L334" s="168">
        <v>21807268544.599998</v>
      </c>
      <c r="M334" s="168">
        <v>944832693.39999998</v>
      </c>
      <c r="N334" s="168">
        <v>944832693.39999998</v>
      </c>
    </row>
    <row r="335" spans="1:14" x14ac:dyDescent="0.25">
      <c r="A335" s="167" t="s">
        <v>559</v>
      </c>
      <c r="B335" s="167" t="s">
        <v>356</v>
      </c>
      <c r="C335" s="167" t="s">
        <v>357</v>
      </c>
      <c r="D335" s="167" t="s">
        <v>554</v>
      </c>
      <c r="E335" s="168">
        <v>263864000</v>
      </c>
      <c r="F335" s="168">
        <v>262858810</v>
      </c>
      <c r="G335" s="168">
        <v>262858810</v>
      </c>
      <c r="H335" s="168">
        <v>0</v>
      </c>
      <c r="I335" s="168">
        <v>0</v>
      </c>
      <c r="J335" s="168">
        <v>0</v>
      </c>
      <c r="K335" s="168">
        <v>243097520.97999999</v>
      </c>
      <c r="L335" s="168">
        <v>243097520.97999999</v>
      </c>
      <c r="M335" s="168">
        <v>19761289.02</v>
      </c>
      <c r="N335" s="168">
        <v>19761289.02</v>
      </c>
    </row>
    <row r="336" spans="1:14" x14ac:dyDescent="0.25">
      <c r="A336" s="167" t="s">
        <v>559</v>
      </c>
      <c r="B336" s="167" t="s">
        <v>98</v>
      </c>
      <c r="C336" s="167" t="s">
        <v>99</v>
      </c>
      <c r="D336" s="167" t="s">
        <v>554</v>
      </c>
      <c r="E336" s="168">
        <v>3303212000</v>
      </c>
      <c r="F336" s="168">
        <v>3315396105</v>
      </c>
      <c r="G336" s="168">
        <v>3315396105</v>
      </c>
      <c r="H336" s="168">
        <v>0</v>
      </c>
      <c r="I336" s="168">
        <v>0</v>
      </c>
      <c r="J336" s="168">
        <v>0</v>
      </c>
      <c r="K336" s="168">
        <v>3244671361.1300001</v>
      </c>
      <c r="L336" s="168">
        <v>3244671361.1300001</v>
      </c>
      <c r="M336" s="168">
        <v>70724743.870000005</v>
      </c>
      <c r="N336" s="168">
        <v>70724743.870000005</v>
      </c>
    </row>
    <row r="337" spans="1:14" x14ac:dyDescent="0.25">
      <c r="A337" s="167" t="s">
        <v>559</v>
      </c>
      <c r="B337" s="167" t="s">
        <v>100</v>
      </c>
      <c r="C337" s="167" t="s">
        <v>101</v>
      </c>
      <c r="D337" s="167" t="s">
        <v>554</v>
      </c>
      <c r="E337" s="168">
        <v>10000000</v>
      </c>
      <c r="F337" s="168">
        <v>10000000</v>
      </c>
      <c r="G337" s="168">
        <v>10000000</v>
      </c>
      <c r="H337" s="168">
        <v>0</v>
      </c>
      <c r="I337" s="168">
        <v>0</v>
      </c>
      <c r="J337" s="168">
        <v>0</v>
      </c>
      <c r="K337" s="168">
        <v>6801329.79</v>
      </c>
      <c r="L337" s="168">
        <v>6801329.79</v>
      </c>
      <c r="M337" s="168">
        <v>3198670.21</v>
      </c>
      <c r="N337" s="168">
        <v>3198670.21</v>
      </c>
    </row>
    <row r="338" spans="1:14" x14ac:dyDescent="0.25">
      <c r="A338" s="167" t="s">
        <v>559</v>
      </c>
      <c r="B338" s="167" t="s">
        <v>358</v>
      </c>
      <c r="C338" s="167" t="s">
        <v>359</v>
      </c>
      <c r="D338" s="167" t="s">
        <v>554</v>
      </c>
      <c r="E338" s="168">
        <v>4000000</v>
      </c>
      <c r="F338" s="168">
        <v>29000000</v>
      </c>
      <c r="G338" s="168">
        <v>29000000</v>
      </c>
      <c r="H338" s="168">
        <v>0</v>
      </c>
      <c r="I338" s="168">
        <v>0</v>
      </c>
      <c r="J338" s="168">
        <v>0</v>
      </c>
      <c r="K338" s="168">
        <v>15215155</v>
      </c>
      <c r="L338" s="168">
        <v>15215155</v>
      </c>
      <c r="M338" s="168">
        <v>13784845</v>
      </c>
      <c r="N338" s="168">
        <v>13784845</v>
      </c>
    </row>
    <row r="339" spans="1:14" x14ac:dyDescent="0.25">
      <c r="A339" s="167" t="s">
        <v>559</v>
      </c>
      <c r="B339" s="167" t="s">
        <v>360</v>
      </c>
      <c r="C339" s="167" t="s">
        <v>361</v>
      </c>
      <c r="D339" s="167" t="s">
        <v>554</v>
      </c>
      <c r="E339" s="168">
        <v>3289212000</v>
      </c>
      <c r="F339" s="168">
        <v>3276396105</v>
      </c>
      <c r="G339" s="168">
        <v>3276396105</v>
      </c>
      <c r="H339" s="168">
        <v>0</v>
      </c>
      <c r="I339" s="168">
        <v>0</v>
      </c>
      <c r="J339" s="168">
        <v>0</v>
      </c>
      <c r="K339" s="168">
        <v>3222654876.3400002</v>
      </c>
      <c r="L339" s="168">
        <v>3222654876.3400002</v>
      </c>
      <c r="M339" s="168">
        <v>53741228.659999996</v>
      </c>
      <c r="N339" s="168">
        <v>53741228.659999996</v>
      </c>
    </row>
    <row r="340" spans="1:14" x14ac:dyDescent="0.25">
      <c r="A340" s="167" t="s">
        <v>559</v>
      </c>
      <c r="B340" s="167" t="s">
        <v>102</v>
      </c>
      <c r="C340" s="167" t="s">
        <v>103</v>
      </c>
      <c r="D340" s="167" t="s">
        <v>554</v>
      </c>
      <c r="E340" s="168">
        <v>27261260000</v>
      </c>
      <c r="F340" s="168">
        <v>26975330630</v>
      </c>
      <c r="G340" s="168">
        <v>26975330630</v>
      </c>
      <c r="H340" s="168">
        <v>0</v>
      </c>
      <c r="I340" s="168">
        <v>0</v>
      </c>
      <c r="J340" s="168">
        <v>0</v>
      </c>
      <c r="K340" s="168">
        <v>25889231861.470001</v>
      </c>
      <c r="L340" s="168">
        <v>25889231861.470001</v>
      </c>
      <c r="M340" s="168">
        <v>1086098768.53</v>
      </c>
      <c r="N340" s="168">
        <v>1086098768.53</v>
      </c>
    </row>
    <row r="341" spans="1:14" x14ac:dyDescent="0.25">
      <c r="A341" s="167" t="s">
        <v>559</v>
      </c>
      <c r="B341" s="167" t="s">
        <v>104</v>
      </c>
      <c r="C341" s="167" t="s">
        <v>105</v>
      </c>
      <c r="D341" s="167" t="s">
        <v>554</v>
      </c>
      <c r="E341" s="168">
        <v>8657678000</v>
      </c>
      <c r="F341" s="168">
        <v>8590943305</v>
      </c>
      <c r="G341" s="168">
        <v>8590943305</v>
      </c>
      <c r="H341" s="168">
        <v>0</v>
      </c>
      <c r="I341" s="168">
        <v>0</v>
      </c>
      <c r="J341" s="168">
        <v>0</v>
      </c>
      <c r="K341" s="168">
        <v>8522064534.8100004</v>
      </c>
      <c r="L341" s="168">
        <v>8522064534.8100004</v>
      </c>
      <c r="M341" s="168">
        <v>68878770.189999998</v>
      </c>
      <c r="N341" s="168">
        <v>68878770.189999998</v>
      </c>
    </row>
    <row r="342" spans="1:14" x14ac:dyDescent="0.25">
      <c r="A342" s="167" t="s">
        <v>559</v>
      </c>
      <c r="B342" s="167" t="s">
        <v>106</v>
      </c>
      <c r="C342" s="167" t="s">
        <v>107</v>
      </c>
      <c r="D342" s="167" t="s">
        <v>554</v>
      </c>
      <c r="E342" s="168">
        <v>3445918000</v>
      </c>
      <c r="F342" s="168">
        <v>3432633300</v>
      </c>
      <c r="G342" s="168">
        <v>3432633300</v>
      </c>
      <c r="H342" s="168">
        <v>0</v>
      </c>
      <c r="I342" s="168">
        <v>0</v>
      </c>
      <c r="J342" s="168">
        <v>0</v>
      </c>
      <c r="K342" s="168">
        <v>3014209318.04</v>
      </c>
      <c r="L342" s="168">
        <v>3014209318.04</v>
      </c>
      <c r="M342" s="168">
        <v>418423981.95999998</v>
      </c>
      <c r="N342" s="168">
        <v>418423981.95999998</v>
      </c>
    </row>
    <row r="343" spans="1:14" x14ac:dyDescent="0.25">
      <c r="A343" s="167" t="s">
        <v>559</v>
      </c>
      <c r="B343" s="167" t="s">
        <v>112</v>
      </c>
      <c r="C343" s="167" t="s">
        <v>113</v>
      </c>
      <c r="D343" s="167" t="s">
        <v>556</v>
      </c>
      <c r="E343" s="168">
        <v>4086916000</v>
      </c>
      <c r="F343" s="168">
        <v>4063419995</v>
      </c>
      <c r="G343" s="168">
        <v>4063419995</v>
      </c>
      <c r="H343" s="168">
        <v>0</v>
      </c>
      <c r="I343" s="168">
        <v>0</v>
      </c>
      <c r="J343" s="168">
        <v>0</v>
      </c>
      <c r="K343" s="168">
        <v>3926644774.4299998</v>
      </c>
      <c r="L343" s="168">
        <v>3926644774.4299998</v>
      </c>
      <c r="M343" s="168">
        <v>136775220.56999999</v>
      </c>
      <c r="N343" s="168">
        <v>136775220.56999999</v>
      </c>
    </row>
    <row r="344" spans="1:14" x14ac:dyDescent="0.25">
      <c r="A344" s="167" t="s">
        <v>559</v>
      </c>
      <c r="B344" s="167" t="s">
        <v>108</v>
      </c>
      <c r="C344" s="167" t="s">
        <v>109</v>
      </c>
      <c r="D344" s="167" t="s">
        <v>554</v>
      </c>
      <c r="E344" s="168">
        <v>3544887000</v>
      </c>
      <c r="F344" s="168">
        <v>3389887000</v>
      </c>
      <c r="G344" s="168">
        <v>3389887000</v>
      </c>
      <c r="H344" s="168">
        <v>0</v>
      </c>
      <c r="I344" s="168">
        <v>0</v>
      </c>
      <c r="J344" s="168">
        <v>0</v>
      </c>
      <c r="K344" s="168">
        <v>3333553038.02</v>
      </c>
      <c r="L344" s="168">
        <v>3333553038.02</v>
      </c>
      <c r="M344" s="168">
        <v>56333961.979999997</v>
      </c>
      <c r="N344" s="168">
        <v>56333961.979999997</v>
      </c>
    </row>
    <row r="345" spans="1:14" x14ac:dyDescent="0.25">
      <c r="A345" s="167" t="s">
        <v>559</v>
      </c>
      <c r="B345" s="167" t="s">
        <v>110</v>
      </c>
      <c r="C345" s="167" t="s">
        <v>111</v>
      </c>
      <c r="D345" s="167" t="s">
        <v>554</v>
      </c>
      <c r="E345" s="168">
        <v>7525861000</v>
      </c>
      <c r="F345" s="168">
        <v>7498447030</v>
      </c>
      <c r="G345" s="168">
        <v>7498447030</v>
      </c>
      <c r="H345" s="168">
        <v>0</v>
      </c>
      <c r="I345" s="168">
        <v>0</v>
      </c>
      <c r="J345" s="168">
        <v>0</v>
      </c>
      <c r="K345" s="168">
        <v>7092760196.1700001</v>
      </c>
      <c r="L345" s="168">
        <v>7092760196.1700001</v>
      </c>
      <c r="M345" s="168">
        <v>405686833.82999998</v>
      </c>
      <c r="N345" s="168">
        <v>405686833.82999998</v>
      </c>
    </row>
    <row r="346" spans="1:14" x14ac:dyDescent="0.25">
      <c r="A346" s="167" t="s">
        <v>559</v>
      </c>
      <c r="B346" s="167" t="s">
        <v>114</v>
      </c>
      <c r="C346" s="167" t="s">
        <v>115</v>
      </c>
      <c r="D346" s="167" t="s">
        <v>554</v>
      </c>
      <c r="E346" s="168">
        <v>4843349000</v>
      </c>
      <c r="F346" s="168">
        <v>4817050347</v>
      </c>
      <c r="G346" s="168">
        <v>4817050347</v>
      </c>
      <c r="H346" s="168">
        <v>0</v>
      </c>
      <c r="I346" s="168">
        <v>0</v>
      </c>
      <c r="J346" s="168">
        <v>0</v>
      </c>
      <c r="K346" s="168">
        <v>4587229550</v>
      </c>
      <c r="L346" s="168">
        <v>4587229550</v>
      </c>
      <c r="M346" s="168">
        <v>229820797</v>
      </c>
      <c r="N346" s="168">
        <v>229820797</v>
      </c>
    </row>
    <row r="347" spans="1:14" x14ac:dyDescent="0.25">
      <c r="A347" s="167" t="s">
        <v>559</v>
      </c>
      <c r="B347" s="167" t="s">
        <v>362</v>
      </c>
      <c r="C347" s="167" t="s">
        <v>579</v>
      </c>
      <c r="D347" s="167" t="s">
        <v>554</v>
      </c>
      <c r="E347" s="168">
        <v>4594972000</v>
      </c>
      <c r="F347" s="168">
        <v>4570021406</v>
      </c>
      <c r="G347" s="168">
        <v>4570021406</v>
      </c>
      <c r="H347" s="168">
        <v>0</v>
      </c>
      <c r="I347" s="168">
        <v>0</v>
      </c>
      <c r="J347" s="168">
        <v>0</v>
      </c>
      <c r="K347" s="168">
        <v>4352011365</v>
      </c>
      <c r="L347" s="168">
        <v>4352011365</v>
      </c>
      <c r="M347" s="168">
        <v>218010041</v>
      </c>
      <c r="N347" s="168">
        <v>218010041</v>
      </c>
    </row>
    <row r="348" spans="1:14" x14ac:dyDescent="0.25">
      <c r="A348" s="167" t="s">
        <v>559</v>
      </c>
      <c r="B348" s="167" t="s">
        <v>363</v>
      </c>
      <c r="C348" s="167" t="s">
        <v>580</v>
      </c>
      <c r="D348" s="167" t="s">
        <v>554</v>
      </c>
      <c r="E348" s="168">
        <v>248377000</v>
      </c>
      <c r="F348" s="168">
        <v>247028941</v>
      </c>
      <c r="G348" s="168">
        <v>247028941</v>
      </c>
      <c r="H348" s="168">
        <v>0</v>
      </c>
      <c r="I348" s="168">
        <v>0</v>
      </c>
      <c r="J348" s="168">
        <v>0</v>
      </c>
      <c r="K348" s="168">
        <v>235218185</v>
      </c>
      <c r="L348" s="168">
        <v>235218185</v>
      </c>
      <c r="M348" s="168">
        <v>11810756</v>
      </c>
      <c r="N348" s="168">
        <v>11810756</v>
      </c>
    </row>
    <row r="349" spans="1:14" x14ac:dyDescent="0.25">
      <c r="A349" s="167" t="s">
        <v>559</v>
      </c>
      <c r="B349" s="167" t="s">
        <v>118</v>
      </c>
      <c r="C349" s="167" t="s">
        <v>119</v>
      </c>
      <c r="D349" s="167" t="s">
        <v>554</v>
      </c>
      <c r="E349" s="168">
        <v>4758901000</v>
      </c>
      <c r="F349" s="168">
        <v>4733063347</v>
      </c>
      <c r="G349" s="168">
        <v>4733063347</v>
      </c>
      <c r="H349" s="168">
        <v>0</v>
      </c>
      <c r="I349" s="168">
        <v>0</v>
      </c>
      <c r="J349" s="168">
        <v>0</v>
      </c>
      <c r="K349" s="168">
        <v>4504571840</v>
      </c>
      <c r="L349" s="168">
        <v>4504571840</v>
      </c>
      <c r="M349" s="168">
        <v>228491507</v>
      </c>
      <c r="N349" s="168">
        <v>228491507</v>
      </c>
    </row>
    <row r="350" spans="1:14" x14ac:dyDescent="0.25">
      <c r="A350" s="167" t="s">
        <v>559</v>
      </c>
      <c r="B350" s="167" t="s">
        <v>364</v>
      </c>
      <c r="C350" s="167" t="s">
        <v>121</v>
      </c>
      <c r="D350" s="167" t="s">
        <v>554</v>
      </c>
      <c r="E350" s="168">
        <v>2523509000</v>
      </c>
      <c r="F350" s="168">
        <v>2509807879</v>
      </c>
      <c r="G350" s="168">
        <v>2509807879</v>
      </c>
      <c r="H350" s="168">
        <v>0</v>
      </c>
      <c r="I350" s="168">
        <v>0</v>
      </c>
      <c r="J350" s="168">
        <v>0</v>
      </c>
      <c r="K350" s="168">
        <v>2387607993</v>
      </c>
      <c r="L350" s="168">
        <v>2387607993</v>
      </c>
      <c r="M350" s="168">
        <v>122199886</v>
      </c>
      <c r="N350" s="168">
        <v>122199886</v>
      </c>
    </row>
    <row r="351" spans="1:14" x14ac:dyDescent="0.25">
      <c r="A351" s="167" t="s">
        <v>559</v>
      </c>
      <c r="B351" s="167" t="s">
        <v>365</v>
      </c>
      <c r="C351" s="167" t="s">
        <v>123</v>
      </c>
      <c r="D351" s="167" t="s">
        <v>554</v>
      </c>
      <c r="E351" s="168">
        <v>745131000</v>
      </c>
      <c r="F351" s="168">
        <v>741085823</v>
      </c>
      <c r="G351" s="168">
        <v>741085823</v>
      </c>
      <c r="H351" s="168">
        <v>0</v>
      </c>
      <c r="I351" s="168">
        <v>0</v>
      </c>
      <c r="J351" s="168">
        <v>0</v>
      </c>
      <c r="K351" s="168">
        <v>705655132</v>
      </c>
      <c r="L351" s="168">
        <v>705655132</v>
      </c>
      <c r="M351" s="168">
        <v>35430691</v>
      </c>
      <c r="N351" s="168">
        <v>35430691</v>
      </c>
    </row>
    <row r="352" spans="1:14" x14ac:dyDescent="0.25">
      <c r="A352" s="167" t="s">
        <v>559</v>
      </c>
      <c r="B352" s="167" t="s">
        <v>366</v>
      </c>
      <c r="C352" s="167" t="s">
        <v>125</v>
      </c>
      <c r="D352" s="167" t="s">
        <v>554</v>
      </c>
      <c r="E352" s="168">
        <v>1490261000</v>
      </c>
      <c r="F352" s="168">
        <v>1482169645</v>
      </c>
      <c r="G352" s="168">
        <v>1482169645</v>
      </c>
      <c r="H352" s="168">
        <v>0</v>
      </c>
      <c r="I352" s="168">
        <v>0</v>
      </c>
      <c r="J352" s="168">
        <v>0</v>
      </c>
      <c r="K352" s="168">
        <v>1411308715</v>
      </c>
      <c r="L352" s="168">
        <v>1411308715</v>
      </c>
      <c r="M352" s="168">
        <v>70860930</v>
      </c>
      <c r="N352" s="168">
        <v>70860930</v>
      </c>
    </row>
    <row r="353" spans="1:14" x14ac:dyDescent="0.25">
      <c r="A353" s="167" t="s">
        <v>559</v>
      </c>
      <c r="B353" s="167" t="s">
        <v>367</v>
      </c>
      <c r="C353" s="167" t="s">
        <v>368</v>
      </c>
      <c r="D353" s="167" t="s">
        <v>554</v>
      </c>
      <c r="E353" s="168">
        <v>300000</v>
      </c>
      <c r="F353" s="168">
        <v>300000</v>
      </c>
      <c r="G353" s="168">
        <v>300000</v>
      </c>
      <c r="H353" s="168">
        <v>0</v>
      </c>
      <c r="I353" s="168">
        <v>0</v>
      </c>
      <c r="J353" s="168">
        <v>0</v>
      </c>
      <c r="K353" s="168">
        <v>300000</v>
      </c>
      <c r="L353" s="168">
        <v>300000</v>
      </c>
      <c r="M353" s="168">
        <v>0</v>
      </c>
      <c r="N353" s="168">
        <v>0</v>
      </c>
    </row>
    <row r="354" spans="1:14" x14ac:dyDescent="0.25">
      <c r="A354" s="167" t="s">
        <v>559</v>
      </c>
      <c r="B354" s="167" t="s">
        <v>369</v>
      </c>
      <c r="C354" s="167" t="s">
        <v>370</v>
      </c>
      <c r="D354" s="167" t="s">
        <v>554</v>
      </c>
      <c r="E354" s="168">
        <v>300000</v>
      </c>
      <c r="F354" s="168">
        <v>300000</v>
      </c>
      <c r="G354" s="168">
        <v>300000</v>
      </c>
      <c r="H354" s="168">
        <v>0</v>
      </c>
      <c r="I354" s="168">
        <v>0</v>
      </c>
      <c r="J354" s="168">
        <v>0</v>
      </c>
      <c r="K354" s="168">
        <v>300000</v>
      </c>
      <c r="L354" s="168">
        <v>300000</v>
      </c>
      <c r="M354" s="168">
        <v>0</v>
      </c>
      <c r="N354" s="168">
        <v>0</v>
      </c>
    </row>
    <row r="355" spans="1:14" x14ac:dyDescent="0.25">
      <c r="A355" s="167" t="s">
        <v>559</v>
      </c>
      <c r="B355" s="167" t="s">
        <v>126</v>
      </c>
      <c r="C355" s="167" t="s">
        <v>127</v>
      </c>
      <c r="D355" s="167" t="s">
        <v>554</v>
      </c>
      <c r="E355" s="168">
        <v>10448319000</v>
      </c>
      <c r="F355" s="168">
        <v>10381083223</v>
      </c>
      <c r="G355" s="168">
        <v>10381083223</v>
      </c>
      <c r="H355" s="168">
        <v>0</v>
      </c>
      <c r="I355" s="168">
        <v>1812035176.49</v>
      </c>
      <c r="J355" s="168">
        <v>0</v>
      </c>
      <c r="K355" s="168">
        <v>7683912915.3599997</v>
      </c>
      <c r="L355" s="168">
        <v>6798111273.6999998</v>
      </c>
      <c r="M355" s="168">
        <v>885135131.14999998</v>
      </c>
      <c r="N355" s="168">
        <v>885135131.14999998</v>
      </c>
    </row>
    <row r="356" spans="1:14" x14ac:dyDescent="0.25">
      <c r="A356" s="167" t="s">
        <v>559</v>
      </c>
      <c r="B356" s="167" t="s">
        <v>128</v>
      </c>
      <c r="C356" s="167" t="s">
        <v>129</v>
      </c>
      <c r="D356" s="167" t="s">
        <v>554</v>
      </c>
      <c r="E356" s="168">
        <v>1684039000</v>
      </c>
      <c r="F356" s="168">
        <v>2638988051</v>
      </c>
      <c r="G356" s="168">
        <v>2638988051</v>
      </c>
      <c r="H356" s="168">
        <v>0</v>
      </c>
      <c r="I356" s="168">
        <v>635103730.82000005</v>
      </c>
      <c r="J356" s="168">
        <v>0</v>
      </c>
      <c r="K356" s="168">
        <v>1985477398.8399999</v>
      </c>
      <c r="L356" s="168">
        <v>1589743820.77</v>
      </c>
      <c r="M356" s="168">
        <v>18406921.34</v>
      </c>
      <c r="N356" s="168">
        <v>18406921.34</v>
      </c>
    </row>
    <row r="357" spans="1:14" x14ac:dyDescent="0.25">
      <c r="A357" s="167" t="s">
        <v>559</v>
      </c>
      <c r="B357" s="167" t="s">
        <v>313</v>
      </c>
      <c r="C357" s="167" t="s">
        <v>314</v>
      </c>
      <c r="D357" s="167" t="s">
        <v>554</v>
      </c>
      <c r="E357" s="168">
        <v>475861000</v>
      </c>
      <c r="F357" s="168">
        <v>436361000</v>
      </c>
      <c r="G357" s="168">
        <v>436361000</v>
      </c>
      <c r="H357" s="168">
        <v>0</v>
      </c>
      <c r="I357" s="168">
        <v>4744077.55</v>
      </c>
      <c r="J357" s="168">
        <v>0</v>
      </c>
      <c r="K357" s="168">
        <v>423191467.25</v>
      </c>
      <c r="L357" s="168">
        <v>390569239.19999999</v>
      </c>
      <c r="M357" s="168">
        <v>8425455.1999999993</v>
      </c>
      <c r="N357" s="168">
        <v>8425455.1999999993</v>
      </c>
    </row>
    <row r="358" spans="1:14" x14ac:dyDescent="0.25">
      <c r="A358" s="167" t="s">
        <v>559</v>
      </c>
      <c r="B358" s="167" t="s">
        <v>328</v>
      </c>
      <c r="C358" s="167" t="s">
        <v>329</v>
      </c>
      <c r="D358" s="167" t="s">
        <v>554</v>
      </c>
      <c r="E358" s="168">
        <v>1103000</v>
      </c>
      <c r="F358" s="168">
        <v>1103000</v>
      </c>
      <c r="G358" s="168">
        <v>1103000</v>
      </c>
      <c r="H358" s="168">
        <v>0</v>
      </c>
      <c r="I358" s="168">
        <v>0</v>
      </c>
      <c r="J358" s="168">
        <v>0</v>
      </c>
      <c r="K358" s="168">
        <v>0</v>
      </c>
      <c r="L358" s="168">
        <v>0</v>
      </c>
      <c r="M358" s="168">
        <v>1103000</v>
      </c>
      <c r="N358" s="168">
        <v>1103000</v>
      </c>
    </row>
    <row r="359" spans="1:14" x14ac:dyDescent="0.25">
      <c r="A359" s="167" t="s">
        <v>559</v>
      </c>
      <c r="B359" s="167" t="s">
        <v>130</v>
      </c>
      <c r="C359" s="167" t="s">
        <v>131</v>
      </c>
      <c r="D359" s="167" t="s">
        <v>554</v>
      </c>
      <c r="E359" s="168">
        <v>756322000</v>
      </c>
      <c r="F359" s="168">
        <v>756322000</v>
      </c>
      <c r="G359" s="168">
        <v>756322000</v>
      </c>
      <c r="H359" s="168">
        <v>0</v>
      </c>
      <c r="I359" s="168">
        <v>69173903.900000006</v>
      </c>
      <c r="J359" s="168">
        <v>0</v>
      </c>
      <c r="K359" s="168">
        <v>678979690.84000003</v>
      </c>
      <c r="L359" s="168">
        <v>534018043.98000002</v>
      </c>
      <c r="M359" s="168">
        <v>8168405.2599999998</v>
      </c>
      <c r="N359" s="168">
        <v>8168405.2599999998</v>
      </c>
    </row>
    <row r="360" spans="1:14" x14ac:dyDescent="0.25">
      <c r="A360" s="167" t="s">
        <v>559</v>
      </c>
      <c r="B360" s="167" t="s">
        <v>330</v>
      </c>
      <c r="C360" s="167" t="s">
        <v>331</v>
      </c>
      <c r="D360" s="167" t="s">
        <v>554</v>
      </c>
      <c r="E360" s="168">
        <v>42928000</v>
      </c>
      <c r="F360" s="168">
        <v>17214008</v>
      </c>
      <c r="G360" s="168">
        <v>17214008</v>
      </c>
      <c r="H360" s="168">
        <v>0</v>
      </c>
      <c r="I360" s="168">
        <v>9153482.5700000003</v>
      </c>
      <c r="J360" s="168">
        <v>0</v>
      </c>
      <c r="K360" s="168">
        <v>8060509.4299999997</v>
      </c>
      <c r="L360" s="168">
        <v>7334990.4000000004</v>
      </c>
      <c r="M360" s="168">
        <v>16</v>
      </c>
      <c r="N360" s="168">
        <v>16</v>
      </c>
    </row>
    <row r="361" spans="1:14" x14ac:dyDescent="0.25">
      <c r="A361" s="167" t="s">
        <v>559</v>
      </c>
      <c r="B361" s="167" t="s">
        <v>132</v>
      </c>
      <c r="C361" s="167" t="s">
        <v>133</v>
      </c>
      <c r="D361" s="167" t="s">
        <v>554</v>
      </c>
      <c r="E361" s="168">
        <v>407825000</v>
      </c>
      <c r="F361" s="168">
        <v>1427988043</v>
      </c>
      <c r="G361" s="168">
        <v>1427988043</v>
      </c>
      <c r="H361" s="168">
        <v>0</v>
      </c>
      <c r="I361" s="168">
        <v>552032266.79999995</v>
      </c>
      <c r="J361" s="168">
        <v>0</v>
      </c>
      <c r="K361" s="168">
        <v>875245731.32000005</v>
      </c>
      <c r="L361" s="168">
        <v>657821547.19000006</v>
      </c>
      <c r="M361" s="168">
        <v>710044.88</v>
      </c>
      <c r="N361" s="168">
        <v>710044.88</v>
      </c>
    </row>
    <row r="362" spans="1:14" x14ac:dyDescent="0.25">
      <c r="A362" s="167" t="s">
        <v>559</v>
      </c>
      <c r="B362" s="167" t="s">
        <v>134</v>
      </c>
      <c r="C362" s="167" t="s">
        <v>135</v>
      </c>
      <c r="D362" s="167" t="s">
        <v>554</v>
      </c>
      <c r="E362" s="168">
        <v>5316150000</v>
      </c>
      <c r="F362" s="168">
        <v>5042935804</v>
      </c>
      <c r="G362" s="168">
        <v>5042935804</v>
      </c>
      <c r="H362" s="168">
        <v>0</v>
      </c>
      <c r="I362" s="168">
        <v>668618236.25999999</v>
      </c>
      <c r="J362" s="168">
        <v>0</v>
      </c>
      <c r="K362" s="168">
        <v>3958068529.5900002</v>
      </c>
      <c r="L362" s="168">
        <v>3916724610.25</v>
      </c>
      <c r="M362" s="168">
        <v>416249038.14999998</v>
      </c>
      <c r="N362" s="168">
        <v>416249038.14999998</v>
      </c>
    </row>
    <row r="363" spans="1:14" x14ac:dyDescent="0.25">
      <c r="A363" s="167" t="s">
        <v>559</v>
      </c>
      <c r="B363" s="167" t="s">
        <v>136</v>
      </c>
      <c r="C363" s="167" t="s">
        <v>137</v>
      </c>
      <c r="D363" s="167" t="s">
        <v>554</v>
      </c>
      <c r="E363" s="168">
        <v>3339016000</v>
      </c>
      <c r="F363" s="168">
        <v>3086801804</v>
      </c>
      <c r="G363" s="168">
        <v>3086801804</v>
      </c>
      <c r="H363" s="168">
        <v>0</v>
      </c>
      <c r="I363" s="168">
        <v>483124741.52999997</v>
      </c>
      <c r="J363" s="168">
        <v>0</v>
      </c>
      <c r="K363" s="168">
        <v>2302587855.3000002</v>
      </c>
      <c r="L363" s="168">
        <v>2291732385.8000002</v>
      </c>
      <c r="M363" s="168">
        <v>301089207.17000002</v>
      </c>
      <c r="N363" s="168">
        <v>301089207.17000002</v>
      </c>
    </row>
    <row r="364" spans="1:14" x14ac:dyDescent="0.25">
      <c r="A364" s="167" t="s">
        <v>559</v>
      </c>
      <c r="B364" s="167" t="s">
        <v>138</v>
      </c>
      <c r="C364" s="167" t="s">
        <v>139</v>
      </c>
      <c r="D364" s="167" t="s">
        <v>554</v>
      </c>
      <c r="E364" s="168">
        <v>1243809000</v>
      </c>
      <c r="F364" s="168">
        <v>1243809000</v>
      </c>
      <c r="G364" s="168">
        <v>1243809000</v>
      </c>
      <c r="H364" s="168">
        <v>0</v>
      </c>
      <c r="I364" s="168">
        <v>77535702.280000001</v>
      </c>
      <c r="J364" s="168">
        <v>0</v>
      </c>
      <c r="K364" s="168">
        <v>1113111038.49</v>
      </c>
      <c r="L364" s="168">
        <v>1113083638.3900001</v>
      </c>
      <c r="M364" s="168">
        <v>53162259.229999997</v>
      </c>
      <c r="N364" s="168">
        <v>53162259.229999997</v>
      </c>
    </row>
    <row r="365" spans="1:14" x14ac:dyDescent="0.25">
      <c r="A365" s="167" t="s">
        <v>559</v>
      </c>
      <c r="B365" s="167" t="s">
        <v>140</v>
      </c>
      <c r="C365" s="167" t="s">
        <v>141</v>
      </c>
      <c r="D365" s="167" t="s">
        <v>554</v>
      </c>
      <c r="E365" s="168">
        <v>6000000</v>
      </c>
      <c r="F365" s="168">
        <v>6000000</v>
      </c>
      <c r="G365" s="168">
        <v>6000000</v>
      </c>
      <c r="H365" s="168">
        <v>0</v>
      </c>
      <c r="I365" s="168">
        <v>1311115</v>
      </c>
      <c r="J365" s="168">
        <v>0</v>
      </c>
      <c r="K365" s="168">
        <v>2628635</v>
      </c>
      <c r="L365" s="168">
        <v>2372140</v>
      </c>
      <c r="M365" s="168">
        <v>2060250</v>
      </c>
      <c r="N365" s="168">
        <v>2060250</v>
      </c>
    </row>
    <row r="366" spans="1:14" x14ac:dyDescent="0.25">
      <c r="A366" s="167" t="s">
        <v>559</v>
      </c>
      <c r="B366" s="167" t="s">
        <v>142</v>
      </c>
      <c r="C366" s="167" t="s">
        <v>143</v>
      </c>
      <c r="D366" s="167" t="s">
        <v>554</v>
      </c>
      <c r="E366" s="168">
        <v>520351000</v>
      </c>
      <c r="F366" s="168">
        <v>520351000</v>
      </c>
      <c r="G366" s="168">
        <v>520351000</v>
      </c>
      <c r="H366" s="168">
        <v>0</v>
      </c>
      <c r="I366" s="168">
        <v>68601495.629999995</v>
      </c>
      <c r="J366" s="168">
        <v>0</v>
      </c>
      <c r="K366" s="168">
        <v>451749502.76999998</v>
      </c>
      <c r="L366" s="168">
        <v>424351338.63</v>
      </c>
      <c r="M366" s="168">
        <v>1.6</v>
      </c>
      <c r="N366" s="168">
        <v>1.6</v>
      </c>
    </row>
    <row r="367" spans="1:14" x14ac:dyDescent="0.25">
      <c r="A367" s="167" t="s">
        <v>559</v>
      </c>
      <c r="B367" s="167" t="s">
        <v>144</v>
      </c>
      <c r="C367" s="167" t="s">
        <v>145</v>
      </c>
      <c r="D367" s="167" t="s">
        <v>554</v>
      </c>
      <c r="E367" s="168">
        <v>206974000</v>
      </c>
      <c r="F367" s="168">
        <v>185974000</v>
      </c>
      <c r="G367" s="168">
        <v>185974000</v>
      </c>
      <c r="H367" s="168">
        <v>0</v>
      </c>
      <c r="I367" s="168">
        <v>38045181.82</v>
      </c>
      <c r="J367" s="168">
        <v>0</v>
      </c>
      <c r="K367" s="168">
        <v>87991498.030000001</v>
      </c>
      <c r="L367" s="168">
        <v>85185107.430000007</v>
      </c>
      <c r="M367" s="168">
        <v>59937320.149999999</v>
      </c>
      <c r="N367" s="168">
        <v>59937320.149999999</v>
      </c>
    </row>
    <row r="368" spans="1:14" x14ac:dyDescent="0.25">
      <c r="A368" s="167" t="s">
        <v>559</v>
      </c>
      <c r="B368" s="167" t="s">
        <v>146</v>
      </c>
      <c r="C368" s="167" t="s">
        <v>147</v>
      </c>
      <c r="D368" s="167" t="s">
        <v>554</v>
      </c>
      <c r="E368" s="168">
        <v>13462000</v>
      </c>
      <c r="F368" s="168">
        <v>8692000</v>
      </c>
      <c r="G368" s="168">
        <v>8692000</v>
      </c>
      <c r="H368" s="168">
        <v>0</v>
      </c>
      <c r="I368" s="168">
        <v>2752560</v>
      </c>
      <c r="J368" s="168">
        <v>0</v>
      </c>
      <c r="K368" s="168">
        <v>1981088</v>
      </c>
      <c r="L368" s="168">
        <v>1981088</v>
      </c>
      <c r="M368" s="168">
        <v>3958352</v>
      </c>
      <c r="N368" s="168">
        <v>3958352</v>
      </c>
    </row>
    <row r="369" spans="1:14" x14ac:dyDescent="0.25">
      <c r="A369" s="167" t="s">
        <v>559</v>
      </c>
      <c r="B369" s="167" t="s">
        <v>148</v>
      </c>
      <c r="C369" s="167" t="s">
        <v>149</v>
      </c>
      <c r="D369" s="167" t="s">
        <v>554</v>
      </c>
      <c r="E369" s="168">
        <v>1500000</v>
      </c>
      <c r="F369" s="168">
        <v>2500000</v>
      </c>
      <c r="G369" s="168">
        <v>2500000</v>
      </c>
      <c r="H369" s="168">
        <v>0</v>
      </c>
      <c r="I369" s="168">
        <v>2257560</v>
      </c>
      <c r="J369" s="168">
        <v>0</v>
      </c>
      <c r="K369" s="168">
        <v>242440</v>
      </c>
      <c r="L369" s="168">
        <v>242440</v>
      </c>
      <c r="M369" s="168">
        <v>0</v>
      </c>
      <c r="N369" s="168">
        <v>0</v>
      </c>
    </row>
    <row r="370" spans="1:14" x14ac:dyDescent="0.25">
      <c r="A370" s="167" t="s">
        <v>559</v>
      </c>
      <c r="B370" s="167" t="s">
        <v>150</v>
      </c>
      <c r="C370" s="167" t="s">
        <v>151</v>
      </c>
      <c r="D370" s="167" t="s">
        <v>554</v>
      </c>
      <c r="E370" s="168">
        <v>11962000</v>
      </c>
      <c r="F370" s="168">
        <v>6192000</v>
      </c>
      <c r="G370" s="168">
        <v>6192000</v>
      </c>
      <c r="H370" s="168">
        <v>0</v>
      </c>
      <c r="I370" s="168">
        <v>495000</v>
      </c>
      <c r="J370" s="168">
        <v>0</v>
      </c>
      <c r="K370" s="168">
        <v>1738648</v>
      </c>
      <c r="L370" s="168">
        <v>1738648</v>
      </c>
      <c r="M370" s="168">
        <v>3958352</v>
      </c>
      <c r="N370" s="168">
        <v>3958352</v>
      </c>
    </row>
    <row r="371" spans="1:14" x14ac:dyDescent="0.25">
      <c r="A371" s="167" t="s">
        <v>559</v>
      </c>
      <c r="B371" s="167" t="s">
        <v>154</v>
      </c>
      <c r="C371" s="167" t="s">
        <v>155</v>
      </c>
      <c r="D371" s="167" t="s">
        <v>554</v>
      </c>
      <c r="E371" s="168">
        <v>1128265000</v>
      </c>
      <c r="F371" s="168">
        <v>292258296</v>
      </c>
      <c r="G371" s="168">
        <v>292258296</v>
      </c>
      <c r="H371" s="168">
        <v>0</v>
      </c>
      <c r="I371" s="168">
        <v>29067831.670000002</v>
      </c>
      <c r="J371" s="168">
        <v>0</v>
      </c>
      <c r="K371" s="168">
        <v>201266430.77000001</v>
      </c>
      <c r="L371" s="168">
        <v>164729221.84</v>
      </c>
      <c r="M371" s="168">
        <v>61924033.560000002</v>
      </c>
      <c r="N371" s="168">
        <v>61924033.560000002</v>
      </c>
    </row>
    <row r="372" spans="1:14" x14ac:dyDescent="0.25">
      <c r="A372" s="167" t="s">
        <v>559</v>
      </c>
      <c r="B372" s="167" t="s">
        <v>371</v>
      </c>
      <c r="C372" s="167" t="s">
        <v>372</v>
      </c>
      <c r="D372" s="167" t="s">
        <v>554</v>
      </c>
      <c r="E372" s="168">
        <v>24045000</v>
      </c>
      <c r="F372" s="168">
        <v>24045000</v>
      </c>
      <c r="G372" s="168">
        <v>24045000</v>
      </c>
      <c r="H372" s="168">
        <v>0</v>
      </c>
      <c r="I372" s="168">
        <v>1800000</v>
      </c>
      <c r="J372" s="168">
        <v>0</v>
      </c>
      <c r="K372" s="168">
        <v>21668616</v>
      </c>
      <c r="L372" s="168">
        <v>2540000</v>
      </c>
      <c r="M372" s="168">
        <v>576384</v>
      </c>
      <c r="N372" s="168">
        <v>576384</v>
      </c>
    </row>
    <row r="373" spans="1:14" x14ac:dyDescent="0.25">
      <c r="A373" s="167" t="s">
        <v>559</v>
      </c>
      <c r="B373" s="167" t="s">
        <v>336</v>
      </c>
      <c r="C373" s="167" t="s">
        <v>337</v>
      </c>
      <c r="D373" s="167" t="s">
        <v>554</v>
      </c>
      <c r="E373" s="168">
        <v>400000000</v>
      </c>
      <c r="F373" s="168">
        <v>0</v>
      </c>
      <c r="G373" s="168">
        <v>0</v>
      </c>
      <c r="H373" s="168">
        <v>0</v>
      </c>
      <c r="I373" s="168">
        <v>0</v>
      </c>
      <c r="J373" s="168">
        <v>0</v>
      </c>
      <c r="K373" s="168">
        <v>0</v>
      </c>
      <c r="L373" s="168">
        <v>0</v>
      </c>
      <c r="M373" s="168">
        <v>0</v>
      </c>
      <c r="N373" s="168">
        <v>0</v>
      </c>
    </row>
    <row r="374" spans="1:14" x14ac:dyDescent="0.25">
      <c r="A374" s="167" t="s">
        <v>559</v>
      </c>
      <c r="B374" s="167" t="s">
        <v>338</v>
      </c>
      <c r="C374" s="167" t="s">
        <v>339</v>
      </c>
      <c r="D374" s="167" t="s">
        <v>554</v>
      </c>
      <c r="E374" s="168">
        <v>56870000</v>
      </c>
      <c r="F374" s="168">
        <v>66805000</v>
      </c>
      <c r="G374" s="168">
        <v>66805000</v>
      </c>
      <c r="H374" s="168">
        <v>0</v>
      </c>
      <c r="I374" s="168">
        <v>14032872.24</v>
      </c>
      <c r="J374" s="168">
        <v>0</v>
      </c>
      <c r="K374" s="168">
        <v>52756400.009999998</v>
      </c>
      <c r="L374" s="168">
        <v>52756400.009999998</v>
      </c>
      <c r="M374" s="168">
        <v>15727.75</v>
      </c>
      <c r="N374" s="168">
        <v>15727.75</v>
      </c>
    </row>
    <row r="375" spans="1:14" x14ac:dyDescent="0.25">
      <c r="A375" s="167" t="s">
        <v>559</v>
      </c>
      <c r="B375" s="167" t="s">
        <v>156</v>
      </c>
      <c r="C375" s="167" t="s">
        <v>157</v>
      </c>
      <c r="D375" s="167" t="s">
        <v>554</v>
      </c>
      <c r="E375" s="168">
        <v>460625000</v>
      </c>
      <c r="F375" s="168">
        <v>0</v>
      </c>
      <c r="G375" s="168">
        <v>0</v>
      </c>
      <c r="H375" s="168">
        <v>0</v>
      </c>
      <c r="I375" s="168">
        <v>0</v>
      </c>
      <c r="J375" s="168">
        <v>0</v>
      </c>
      <c r="K375" s="168">
        <v>0</v>
      </c>
      <c r="L375" s="168">
        <v>0</v>
      </c>
      <c r="M375" s="168">
        <v>0</v>
      </c>
      <c r="N375" s="168">
        <v>0</v>
      </c>
    </row>
    <row r="376" spans="1:14" x14ac:dyDescent="0.25">
      <c r="A376" s="167" t="s">
        <v>559</v>
      </c>
      <c r="B376" s="167" t="s">
        <v>158</v>
      </c>
      <c r="C376" s="167" t="s">
        <v>159</v>
      </c>
      <c r="D376" s="167" t="s">
        <v>554</v>
      </c>
      <c r="E376" s="168">
        <v>124000000</v>
      </c>
      <c r="F376" s="168">
        <v>126608000</v>
      </c>
      <c r="G376" s="168">
        <v>126608000</v>
      </c>
      <c r="H376" s="168">
        <v>0</v>
      </c>
      <c r="I376" s="168">
        <v>12545236.43</v>
      </c>
      <c r="J376" s="168">
        <v>0</v>
      </c>
      <c r="K376" s="168">
        <v>100226708.86</v>
      </c>
      <c r="L376" s="168">
        <v>89130626.260000005</v>
      </c>
      <c r="M376" s="168">
        <v>13836054.710000001</v>
      </c>
      <c r="N376" s="168">
        <v>13836054.710000001</v>
      </c>
    </row>
    <row r="377" spans="1:14" x14ac:dyDescent="0.25">
      <c r="A377" s="167" t="s">
        <v>559</v>
      </c>
      <c r="B377" s="167" t="s">
        <v>160</v>
      </c>
      <c r="C377" s="167" t="s">
        <v>161</v>
      </c>
      <c r="D377" s="167" t="s">
        <v>554</v>
      </c>
      <c r="E377" s="168">
        <v>62725000</v>
      </c>
      <c r="F377" s="168">
        <v>74800296</v>
      </c>
      <c r="G377" s="168">
        <v>74800296</v>
      </c>
      <c r="H377" s="168">
        <v>0</v>
      </c>
      <c r="I377" s="168">
        <v>689723</v>
      </c>
      <c r="J377" s="168">
        <v>0</v>
      </c>
      <c r="K377" s="168">
        <v>26614705.899999999</v>
      </c>
      <c r="L377" s="168">
        <v>20302195.57</v>
      </c>
      <c r="M377" s="168">
        <v>47495867.100000001</v>
      </c>
      <c r="N377" s="168">
        <v>47495867.100000001</v>
      </c>
    </row>
    <row r="378" spans="1:14" x14ac:dyDescent="0.25">
      <c r="A378" s="167" t="s">
        <v>559</v>
      </c>
      <c r="B378" s="167" t="s">
        <v>162</v>
      </c>
      <c r="C378" s="167" t="s">
        <v>163</v>
      </c>
      <c r="D378" s="167" t="s">
        <v>554</v>
      </c>
      <c r="E378" s="168">
        <v>158530000</v>
      </c>
      <c r="F378" s="168">
        <v>158530000</v>
      </c>
      <c r="G378" s="168">
        <v>158530000</v>
      </c>
      <c r="H378" s="168">
        <v>0</v>
      </c>
      <c r="I378" s="168">
        <v>38527247.32</v>
      </c>
      <c r="J378" s="168">
        <v>0</v>
      </c>
      <c r="K378" s="168">
        <v>108151981.83</v>
      </c>
      <c r="L378" s="168">
        <v>108138481.83</v>
      </c>
      <c r="M378" s="168">
        <v>11850770.85</v>
      </c>
      <c r="N378" s="168">
        <v>11850770.85</v>
      </c>
    </row>
    <row r="379" spans="1:14" x14ac:dyDescent="0.25">
      <c r="A379" s="167" t="s">
        <v>559</v>
      </c>
      <c r="B379" s="167" t="s">
        <v>164</v>
      </c>
      <c r="C379" s="167" t="s">
        <v>165</v>
      </c>
      <c r="D379" s="167" t="s">
        <v>554</v>
      </c>
      <c r="E379" s="168">
        <v>7000000</v>
      </c>
      <c r="F379" s="168">
        <v>7000000</v>
      </c>
      <c r="G379" s="168">
        <v>7000000</v>
      </c>
      <c r="H379" s="168">
        <v>0</v>
      </c>
      <c r="I379" s="168">
        <v>439340</v>
      </c>
      <c r="J379" s="168">
        <v>0</v>
      </c>
      <c r="K379" s="168">
        <v>6527040</v>
      </c>
      <c r="L379" s="168">
        <v>6527040</v>
      </c>
      <c r="M379" s="168">
        <v>33620</v>
      </c>
      <c r="N379" s="168">
        <v>33620</v>
      </c>
    </row>
    <row r="380" spans="1:14" x14ac:dyDescent="0.25">
      <c r="A380" s="167" t="s">
        <v>559</v>
      </c>
      <c r="B380" s="167" t="s">
        <v>166</v>
      </c>
      <c r="C380" s="167" t="s">
        <v>167</v>
      </c>
      <c r="D380" s="167" t="s">
        <v>554</v>
      </c>
      <c r="E380" s="168">
        <v>141530000</v>
      </c>
      <c r="F380" s="168">
        <v>141530000</v>
      </c>
      <c r="G380" s="168">
        <v>141530000</v>
      </c>
      <c r="H380" s="168">
        <v>0</v>
      </c>
      <c r="I380" s="168">
        <v>36935838</v>
      </c>
      <c r="J380" s="168">
        <v>0</v>
      </c>
      <c r="K380" s="168">
        <v>97753712</v>
      </c>
      <c r="L380" s="168">
        <v>97740212</v>
      </c>
      <c r="M380" s="168">
        <v>6840450</v>
      </c>
      <c r="N380" s="168">
        <v>6840450</v>
      </c>
    </row>
    <row r="381" spans="1:14" x14ac:dyDescent="0.25">
      <c r="A381" s="167" t="s">
        <v>559</v>
      </c>
      <c r="B381" s="167" t="s">
        <v>168</v>
      </c>
      <c r="C381" s="167" t="s">
        <v>169</v>
      </c>
      <c r="D381" s="167" t="s">
        <v>554</v>
      </c>
      <c r="E381" s="168">
        <v>4000000</v>
      </c>
      <c r="F381" s="168">
        <v>4000000</v>
      </c>
      <c r="G381" s="168">
        <v>4000000</v>
      </c>
      <c r="H381" s="168">
        <v>0</v>
      </c>
      <c r="I381" s="168">
        <v>388300.02</v>
      </c>
      <c r="J381" s="168">
        <v>0</v>
      </c>
      <c r="K381" s="168">
        <v>2453114.48</v>
      </c>
      <c r="L381" s="168">
        <v>2453114.48</v>
      </c>
      <c r="M381" s="168">
        <v>1158585.5</v>
      </c>
      <c r="N381" s="168">
        <v>1158585.5</v>
      </c>
    </row>
    <row r="382" spans="1:14" x14ac:dyDescent="0.25">
      <c r="A382" s="167" t="s">
        <v>559</v>
      </c>
      <c r="B382" s="167" t="s">
        <v>170</v>
      </c>
      <c r="C382" s="167" t="s">
        <v>171</v>
      </c>
      <c r="D382" s="167" t="s">
        <v>554</v>
      </c>
      <c r="E382" s="168">
        <v>6000000</v>
      </c>
      <c r="F382" s="168">
        <v>6000000</v>
      </c>
      <c r="G382" s="168">
        <v>6000000</v>
      </c>
      <c r="H382" s="168">
        <v>0</v>
      </c>
      <c r="I382" s="168">
        <v>763769.3</v>
      </c>
      <c r="J382" s="168">
        <v>0</v>
      </c>
      <c r="K382" s="168">
        <v>1418115.35</v>
      </c>
      <c r="L382" s="168">
        <v>1418115.35</v>
      </c>
      <c r="M382" s="168">
        <v>3818115.35</v>
      </c>
      <c r="N382" s="168">
        <v>3818115.35</v>
      </c>
    </row>
    <row r="383" spans="1:14" x14ac:dyDescent="0.25">
      <c r="A383" s="167" t="s">
        <v>559</v>
      </c>
      <c r="B383" s="167" t="s">
        <v>172</v>
      </c>
      <c r="C383" s="167" t="s">
        <v>173</v>
      </c>
      <c r="D383" s="167" t="s">
        <v>554</v>
      </c>
      <c r="E383" s="168">
        <v>1303001000</v>
      </c>
      <c r="F383" s="168">
        <v>1402556796</v>
      </c>
      <c r="G383" s="168">
        <v>1402556796</v>
      </c>
      <c r="H383" s="168">
        <v>0</v>
      </c>
      <c r="I383" s="168">
        <v>316085658.92000002</v>
      </c>
      <c r="J383" s="168">
        <v>0</v>
      </c>
      <c r="K383" s="168">
        <v>1086471137.01</v>
      </c>
      <c r="L383" s="168">
        <v>705594328</v>
      </c>
      <c r="M383" s="168">
        <v>7.0000000000000007E-2</v>
      </c>
      <c r="N383" s="168">
        <v>7.0000000000000007E-2</v>
      </c>
    </row>
    <row r="384" spans="1:14" x14ac:dyDescent="0.25">
      <c r="A384" s="167" t="s">
        <v>559</v>
      </c>
      <c r="B384" s="167" t="s">
        <v>174</v>
      </c>
      <c r="C384" s="167" t="s">
        <v>175</v>
      </c>
      <c r="D384" s="167" t="s">
        <v>554</v>
      </c>
      <c r="E384" s="168">
        <v>1303001000</v>
      </c>
      <c r="F384" s="168">
        <v>1402556796</v>
      </c>
      <c r="G384" s="168">
        <v>1402556796</v>
      </c>
      <c r="H384" s="168">
        <v>0</v>
      </c>
      <c r="I384" s="168">
        <v>316085658.92000002</v>
      </c>
      <c r="J384" s="168">
        <v>0</v>
      </c>
      <c r="K384" s="168">
        <v>1086471137.01</v>
      </c>
      <c r="L384" s="168">
        <v>705594328</v>
      </c>
      <c r="M384" s="168">
        <v>7.0000000000000007E-2</v>
      </c>
      <c r="N384" s="168">
        <v>7.0000000000000007E-2</v>
      </c>
    </row>
    <row r="385" spans="1:14" x14ac:dyDescent="0.25">
      <c r="A385" s="167" t="s">
        <v>559</v>
      </c>
      <c r="B385" s="167" t="s">
        <v>176</v>
      </c>
      <c r="C385" s="167" t="s">
        <v>177</v>
      </c>
      <c r="D385" s="167" t="s">
        <v>554</v>
      </c>
      <c r="E385" s="168">
        <v>0</v>
      </c>
      <c r="F385" s="168">
        <v>7000000</v>
      </c>
      <c r="G385" s="168">
        <v>7000000</v>
      </c>
      <c r="H385" s="168">
        <v>0</v>
      </c>
      <c r="I385" s="168">
        <v>0</v>
      </c>
      <c r="J385" s="168">
        <v>0</v>
      </c>
      <c r="K385" s="168">
        <v>0</v>
      </c>
      <c r="L385" s="168">
        <v>0</v>
      </c>
      <c r="M385" s="168">
        <v>7000000</v>
      </c>
      <c r="N385" s="168">
        <v>7000000</v>
      </c>
    </row>
    <row r="386" spans="1:14" x14ac:dyDescent="0.25">
      <c r="A386" s="167" t="s">
        <v>559</v>
      </c>
      <c r="B386" s="167" t="s">
        <v>178</v>
      </c>
      <c r="C386" s="167" t="s">
        <v>179</v>
      </c>
      <c r="D386" s="167" t="s">
        <v>554</v>
      </c>
      <c r="E386" s="168">
        <v>0</v>
      </c>
      <c r="F386" s="168">
        <v>7000000</v>
      </c>
      <c r="G386" s="168">
        <v>7000000</v>
      </c>
      <c r="H386" s="168">
        <v>0</v>
      </c>
      <c r="I386" s="168">
        <v>0</v>
      </c>
      <c r="J386" s="168">
        <v>0</v>
      </c>
      <c r="K386" s="168">
        <v>0</v>
      </c>
      <c r="L386" s="168">
        <v>0</v>
      </c>
      <c r="M386" s="168">
        <v>7000000</v>
      </c>
      <c r="N386" s="168">
        <v>7000000</v>
      </c>
    </row>
    <row r="387" spans="1:14" x14ac:dyDescent="0.25">
      <c r="A387" s="167" t="s">
        <v>559</v>
      </c>
      <c r="B387" s="167" t="s">
        <v>182</v>
      </c>
      <c r="C387" s="167" t="s">
        <v>183</v>
      </c>
      <c r="D387" s="167" t="s">
        <v>554</v>
      </c>
      <c r="E387" s="168">
        <v>774856000</v>
      </c>
      <c r="F387" s="168">
        <v>760106276</v>
      </c>
      <c r="G387" s="168">
        <v>760106276</v>
      </c>
      <c r="H387" s="168">
        <v>0</v>
      </c>
      <c r="I387" s="168">
        <v>107864779.18000001</v>
      </c>
      <c r="J387" s="168">
        <v>0</v>
      </c>
      <c r="K387" s="168">
        <v>321757364.44999999</v>
      </c>
      <c r="L387" s="168">
        <v>298748870.13999999</v>
      </c>
      <c r="M387" s="168">
        <v>330484132.37</v>
      </c>
      <c r="N387" s="168">
        <v>330484132.37</v>
      </c>
    </row>
    <row r="388" spans="1:14" x14ac:dyDescent="0.25">
      <c r="A388" s="167" t="s">
        <v>559</v>
      </c>
      <c r="B388" s="167" t="s">
        <v>184</v>
      </c>
      <c r="C388" s="167" t="s">
        <v>185</v>
      </c>
      <c r="D388" s="167" t="s">
        <v>554</v>
      </c>
      <c r="E388" s="168">
        <v>40000000</v>
      </c>
      <c r="F388" s="168">
        <v>137066555</v>
      </c>
      <c r="G388" s="168">
        <v>137066555</v>
      </c>
      <c r="H388" s="168">
        <v>0</v>
      </c>
      <c r="I388" s="168">
        <v>0</v>
      </c>
      <c r="J388" s="168">
        <v>0</v>
      </c>
      <c r="K388" s="168">
        <v>54463500</v>
      </c>
      <c r="L388" s="168">
        <v>54463500</v>
      </c>
      <c r="M388" s="168">
        <v>82603055</v>
      </c>
      <c r="N388" s="168">
        <v>82603055</v>
      </c>
    </row>
    <row r="389" spans="1:14" x14ac:dyDescent="0.25">
      <c r="A389" s="167" t="s">
        <v>559</v>
      </c>
      <c r="B389" s="167" t="s">
        <v>342</v>
      </c>
      <c r="C389" s="167" t="s">
        <v>343</v>
      </c>
      <c r="D389" s="167" t="s">
        <v>554</v>
      </c>
      <c r="E389" s="168">
        <v>417945000</v>
      </c>
      <c r="F389" s="168">
        <v>329888399</v>
      </c>
      <c r="G389" s="168">
        <v>329888399</v>
      </c>
      <c r="H389" s="168">
        <v>0</v>
      </c>
      <c r="I389" s="168">
        <v>15725171.310000001</v>
      </c>
      <c r="J389" s="168">
        <v>0</v>
      </c>
      <c r="K389" s="168">
        <v>138319509.61000001</v>
      </c>
      <c r="L389" s="168">
        <v>127613660.47</v>
      </c>
      <c r="M389" s="168">
        <v>175843718.08000001</v>
      </c>
      <c r="N389" s="168">
        <v>175843718.08000001</v>
      </c>
    </row>
    <row r="390" spans="1:14" x14ac:dyDescent="0.25">
      <c r="A390" s="167" t="s">
        <v>559</v>
      </c>
      <c r="B390" s="167" t="s">
        <v>186</v>
      </c>
      <c r="C390" s="167" t="s">
        <v>187</v>
      </c>
      <c r="D390" s="167" t="s">
        <v>554</v>
      </c>
      <c r="E390" s="168">
        <v>85300000</v>
      </c>
      <c r="F390" s="168">
        <v>85300000</v>
      </c>
      <c r="G390" s="168">
        <v>85300000</v>
      </c>
      <c r="H390" s="168">
        <v>0</v>
      </c>
      <c r="I390" s="168">
        <v>28643854.82</v>
      </c>
      <c r="J390" s="168">
        <v>0</v>
      </c>
      <c r="K390" s="168">
        <v>39127079.049999997</v>
      </c>
      <c r="L390" s="168">
        <v>34207725.590000004</v>
      </c>
      <c r="M390" s="168">
        <v>17529066.129999999</v>
      </c>
      <c r="N390" s="168">
        <v>17529066.129999999</v>
      </c>
    </row>
    <row r="391" spans="1:14" x14ac:dyDescent="0.25">
      <c r="A391" s="167" t="s">
        <v>559</v>
      </c>
      <c r="B391" s="167" t="s">
        <v>188</v>
      </c>
      <c r="C391" s="167" t="s">
        <v>189</v>
      </c>
      <c r="D391" s="167" t="s">
        <v>554</v>
      </c>
      <c r="E391" s="168">
        <v>6295000</v>
      </c>
      <c r="F391" s="168">
        <v>4250000</v>
      </c>
      <c r="G391" s="168">
        <v>4250000</v>
      </c>
      <c r="H391" s="168">
        <v>0</v>
      </c>
      <c r="I391" s="168">
        <v>12500</v>
      </c>
      <c r="J391" s="168">
        <v>0</v>
      </c>
      <c r="K391" s="168">
        <v>691500</v>
      </c>
      <c r="L391" s="168">
        <v>691500</v>
      </c>
      <c r="M391" s="168">
        <v>3546000</v>
      </c>
      <c r="N391" s="168">
        <v>3546000</v>
      </c>
    </row>
    <row r="392" spans="1:14" x14ac:dyDescent="0.25">
      <c r="A392" s="167" t="s">
        <v>559</v>
      </c>
      <c r="B392" s="167" t="s">
        <v>190</v>
      </c>
      <c r="C392" s="167" t="s">
        <v>191</v>
      </c>
      <c r="D392" s="167" t="s">
        <v>554</v>
      </c>
      <c r="E392" s="168">
        <v>16452000</v>
      </c>
      <c r="F392" s="168">
        <v>22852000</v>
      </c>
      <c r="G392" s="168">
        <v>22852000</v>
      </c>
      <c r="H392" s="168">
        <v>0</v>
      </c>
      <c r="I392" s="168">
        <v>758000</v>
      </c>
      <c r="J392" s="168">
        <v>0</v>
      </c>
      <c r="K392" s="168">
        <v>8687918.9700000007</v>
      </c>
      <c r="L392" s="168">
        <v>7752268.8700000001</v>
      </c>
      <c r="M392" s="168">
        <v>13406081.029999999</v>
      </c>
      <c r="N392" s="168">
        <v>13406081.029999999</v>
      </c>
    </row>
    <row r="393" spans="1:14" x14ac:dyDescent="0.25">
      <c r="A393" s="167" t="s">
        <v>559</v>
      </c>
      <c r="B393" s="167" t="s">
        <v>192</v>
      </c>
      <c r="C393" s="167" t="s">
        <v>193</v>
      </c>
      <c r="D393" s="167" t="s">
        <v>554</v>
      </c>
      <c r="E393" s="168">
        <v>68889000</v>
      </c>
      <c r="F393" s="168">
        <v>18413457</v>
      </c>
      <c r="G393" s="168">
        <v>18413457</v>
      </c>
      <c r="H393" s="168">
        <v>0</v>
      </c>
      <c r="I393" s="168">
        <v>9186068.4299999997</v>
      </c>
      <c r="J393" s="168">
        <v>0</v>
      </c>
      <c r="K393" s="168">
        <v>9006433.0299999993</v>
      </c>
      <c r="L393" s="168">
        <v>6208479.7999999998</v>
      </c>
      <c r="M393" s="168">
        <v>220955.54</v>
      </c>
      <c r="N393" s="168">
        <v>220955.54</v>
      </c>
    </row>
    <row r="394" spans="1:14" x14ac:dyDescent="0.25">
      <c r="A394" s="167" t="s">
        <v>559</v>
      </c>
      <c r="B394" s="167" t="s">
        <v>194</v>
      </c>
      <c r="C394" s="167" t="s">
        <v>195</v>
      </c>
      <c r="D394" s="167" t="s">
        <v>554</v>
      </c>
      <c r="E394" s="168">
        <v>139975000</v>
      </c>
      <c r="F394" s="168">
        <v>162335865</v>
      </c>
      <c r="G394" s="168">
        <v>162335865</v>
      </c>
      <c r="H394" s="168">
        <v>0</v>
      </c>
      <c r="I394" s="168">
        <v>53539184.619999997</v>
      </c>
      <c r="J394" s="168">
        <v>0</v>
      </c>
      <c r="K394" s="168">
        <v>71461423.790000007</v>
      </c>
      <c r="L394" s="168">
        <v>67811735.409999996</v>
      </c>
      <c r="M394" s="168">
        <v>37335256.590000004</v>
      </c>
      <c r="N394" s="168">
        <v>37335256.590000004</v>
      </c>
    </row>
    <row r="395" spans="1:14" x14ac:dyDescent="0.25">
      <c r="A395" s="167" t="s">
        <v>559</v>
      </c>
      <c r="B395" s="167" t="s">
        <v>196</v>
      </c>
      <c r="C395" s="167" t="s">
        <v>197</v>
      </c>
      <c r="D395" s="167" t="s">
        <v>554</v>
      </c>
      <c r="E395" s="168">
        <v>18547000</v>
      </c>
      <c r="F395" s="168">
        <v>18547000</v>
      </c>
      <c r="G395" s="168">
        <v>18547000</v>
      </c>
      <c r="H395" s="168">
        <v>0</v>
      </c>
      <c r="I395" s="168">
        <v>4705166</v>
      </c>
      <c r="J395" s="168">
        <v>0</v>
      </c>
      <c r="K395" s="168">
        <v>8953217</v>
      </c>
      <c r="L395" s="168">
        <v>665085</v>
      </c>
      <c r="M395" s="168">
        <v>4888617</v>
      </c>
      <c r="N395" s="168">
        <v>4888617</v>
      </c>
    </row>
    <row r="396" spans="1:14" x14ac:dyDescent="0.25">
      <c r="A396" s="167" t="s">
        <v>559</v>
      </c>
      <c r="B396" s="167" t="s">
        <v>198</v>
      </c>
      <c r="C396" s="167" t="s">
        <v>199</v>
      </c>
      <c r="D396" s="167" t="s">
        <v>554</v>
      </c>
      <c r="E396" s="168">
        <v>18547000</v>
      </c>
      <c r="F396" s="168">
        <v>18547000</v>
      </c>
      <c r="G396" s="168">
        <v>18547000</v>
      </c>
      <c r="H396" s="168">
        <v>0</v>
      </c>
      <c r="I396" s="168">
        <v>4705166</v>
      </c>
      <c r="J396" s="168">
        <v>0</v>
      </c>
      <c r="K396" s="168">
        <v>8953217</v>
      </c>
      <c r="L396" s="168">
        <v>665085</v>
      </c>
      <c r="M396" s="168">
        <v>4888617</v>
      </c>
      <c r="N396" s="168">
        <v>4888617</v>
      </c>
    </row>
    <row r="397" spans="1:14" x14ac:dyDescent="0.25">
      <c r="A397" s="167" t="s">
        <v>559</v>
      </c>
      <c r="B397" s="167" t="s">
        <v>200</v>
      </c>
      <c r="C397" s="167" t="s">
        <v>201</v>
      </c>
      <c r="D397" s="167" t="s">
        <v>554</v>
      </c>
      <c r="E397" s="168">
        <v>51469000</v>
      </c>
      <c r="F397" s="168">
        <v>51469000</v>
      </c>
      <c r="G397" s="168">
        <v>51469000</v>
      </c>
      <c r="H397" s="168">
        <v>0</v>
      </c>
      <c r="I397" s="168">
        <v>9309966.3200000003</v>
      </c>
      <c r="J397" s="168">
        <v>0</v>
      </c>
      <c r="K397" s="168">
        <v>11785767.869999999</v>
      </c>
      <c r="L397" s="168">
        <v>11785767.869999999</v>
      </c>
      <c r="M397" s="168">
        <v>30373265.809999999</v>
      </c>
      <c r="N397" s="168">
        <v>30373265.809999999</v>
      </c>
    </row>
    <row r="398" spans="1:14" x14ac:dyDescent="0.25">
      <c r="A398" s="167" t="s">
        <v>559</v>
      </c>
      <c r="B398" s="167" t="s">
        <v>373</v>
      </c>
      <c r="C398" s="167" t="s">
        <v>374</v>
      </c>
      <c r="D398" s="167" t="s">
        <v>554</v>
      </c>
      <c r="E398" s="168">
        <v>10969000</v>
      </c>
      <c r="F398" s="168">
        <v>10969000</v>
      </c>
      <c r="G398" s="168">
        <v>10969000</v>
      </c>
      <c r="H398" s="168">
        <v>0</v>
      </c>
      <c r="I398" s="168">
        <v>268516</v>
      </c>
      <c r="J398" s="168">
        <v>0</v>
      </c>
      <c r="K398" s="168">
        <v>461638.85</v>
      </c>
      <c r="L398" s="168">
        <v>461638.85</v>
      </c>
      <c r="M398" s="168">
        <v>10238845.15</v>
      </c>
      <c r="N398" s="168">
        <v>10238845.15</v>
      </c>
    </row>
    <row r="399" spans="1:14" x14ac:dyDescent="0.25">
      <c r="A399" s="167" t="s">
        <v>559</v>
      </c>
      <c r="B399" s="167" t="s">
        <v>344</v>
      </c>
      <c r="C399" s="167" t="s">
        <v>345</v>
      </c>
      <c r="D399" s="167" t="s">
        <v>554</v>
      </c>
      <c r="E399" s="168">
        <v>10500000</v>
      </c>
      <c r="F399" s="168">
        <v>10500000</v>
      </c>
      <c r="G399" s="168">
        <v>10500000</v>
      </c>
      <c r="H399" s="168">
        <v>0</v>
      </c>
      <c r="I399" s="168">
        <v>429180.32</v>
      </c>
      <c r="J399" s="168">
        <v>0</v>
      </c>
      <c r="K399" s="168">
        <v>2733230.02</v>
      </c>
      <c r="L399" s="168">
        <v>2733230.02</v>
      </c>
      <c r="M399" s="168">
        <v>7337589.6600000001</v>
      </c>
      <c r="N399" s="168">
        <v>7337589.6600000001</v>
      </c>
    </row>
    <row r="400" spans="1:14" x14ac:dyDescent="0.25">
      <c r="A400" s="167" t="s">
        <v>559</v>
      </c>
      <c r="B400" s="167" t="s">
        <v>202</v>
      </c>
      <c r="C400" s="167" t="s">
        <v>203</v>
      </c>
      <c r="D400" s="167" t="s">
        <v>554</v>
      </c>
      <c r="E400" s="168">
        <v>30000000</v>
      </c>
      <c r="F400" s="168">
        <v>30000000</v>
      </c>
      <c r="G400" s="168">
        <v>30000000</v>
      </c>
      <c r="H400" s="168">
        <v>0</v>
      </c>
      <c r="I400" s="168">
        <v>8612270</v>
      </c>
      <c r="J400" s="168">
        <v>0</v>
      </c>
      <c r="K400" s="168">
        <v>8590899</v>
      </c>
      <c r="L400" s="168">
        <v>8590899</v>
      </c>
      <c r="M400" s="168">
        <v>12796831</v>
      </c>
      <c r="N400" s="168">
        <v>12796831</v>
      </c>
    </row>
    <row r="401" spans="1:14" x14ac:dyDescent="0.25">
      <c r="A401" s="167" t="s">
        <v>559</v>
      </c>
      <c r="B401" s="167" t="s">
        <v>204</v>
      </c>
      <c r="C401" s="167" t="s">
        <v>205</v>
      </c>
      <c r="D401" s="167" t="s">
        <v>554</v>
      </c>
      <c r="E401" s="168">
        <v>17286157000</v>
      </c>
      <c r="F401" s="168">
        <v>16997750409.66</v>
      </c>
      <c r="G401" s="168">
        <v>16997750409.66</v>
      </c>
      <c r="H401" s="168">
        <v>112674185.28</v>
      </c>
      <c r="I401" s="168">
        <v>2056723686.0699999</v>
      </c>
      <c r="J401" s="168">
        <v>0</v>
      </c>
      <c r="K401" s="168">
        <v>12426045117.969999</v>
      </c>
      <c r="L401" s="168">
        <v>11167965021.620001</v>
      </c>
      <c r="M401" s="168">
        <v>2402307420.3400002</v>
      </c>
      <c r="N401" s="168">
        <v>2402307420.3400002</v>
      </c>
    </row>
    <row r="402" spans="1:14" x14ac:dyDescent="0.25">
      <c r="A402" s="167" t="s">
        <v>559</v>
      </c>
      <c r="B402" s="167" t="s">
        <v>206</v>
      </c>
      <c r="C402" s="167" t="s">
        <v>207</v>
      </c>
      <c r="D402" s="167" t="s">
        <v>554</v>
      </c>
      <c r="E402" s="168">
        <v>1034297000</v>
      </c>
      <c r="F402" s="168">
        <v>921891902</v>
      </c>
      <c r="G402" s="168">
        <v>921891902</v>
      </c>
      <c r="H402" s="168">
        <v>575000</v>
      </c>
      <c r="I402" s="168">
        <v>59235233.350000001</v>
      </c>
      <c r="J402" s="168">
        <v>0</v>
      </c>
      <c r="K402" s="168">
        <v>759917313.51999998</v>
      </c>
      <c r="L402" s="168">
        <v>709779803.86000001</v>
      </c>
      <c r="M402" s="168">
        <v>102164355.13</v>
      </c>
      <c r="N402" s="168">
        <v>102164355.13</v>
      </c>
    </row>
    <row r="403" spans="1:14" x14ac:dyDescent="0.25">
      <c r="A403" s="167" t="s">
        <v>559</v>
      </c>
      <c r="B403" s="167" t="s">
        <v>208</v>
      </c>
      <c r="C403" s="167" t="s">
        <v>209</v>
      </c>
      <c r="D403" s="167" t="s">
        <v>554</v>
      </c>
      <c r="E403" s="168">
        <v>688902000</v>
      </c>
      <c r="F403" s="168">
        <v>624477334</v>
      </c>
      <c r="G403" s="168">
        <v>624477334</v>
      </c>
      <c r="H403" s="168">
        <v>0</v>
      </c>
      <c r="I403" s="168">
        <v>49321673.350000001</v>
      </c>
      <c r="J403" s="168">
        <v>0</v>
      </c>
      <c r="K403" s="168">
        <v>489791364.16000003</v>
      </c>
      <c r="L403" s="168">
        <v>441089410.5</v>
      </c>
      <c r="M403" s="168">
        <v>85364296.489999995</v>
      </c>
      <c r="N403" s="168">
        <v>85364296.489999995</v>
      </c>
    </row>
    <row r="404" spans="1:14" x14ac:dyDescent="0.25">
      <c r="A404" s="167" t="s">
        <v>559</v>
      </c>
      <c r="B404" s="167" t="s">
        <v>210</v>
      </c>
      <c r="C404" s="167" t="s">
        <v>211</v>
      </c>
      <c r="D404" s="167" t="s">
        <v>554</v>
      </c>
      <c r="E404" s="168">
        <v>247084000</v>
      </c>
      <c r="F404" s="168">
        <v>208468600</v>
      </c>
      <c r="G404" s="168">
        <v>208468600</v>
      </c>
      <c r="H404" s="168">
        <v>575000</v>
      </c>
      <c r="I404" s="168">
        <v>1847650</v>
      </c>
      <c r="J404" s="168">
        <v>0</v>
      </c>
      <c r="K404" s="168">
        <v>201140000</v>
      </c>
      <c r="L404" s="168">
        <v>201071050</v>
      </c>
      <c r="M404" s="168">
        <v>4905950</v>
      </c>
      <c r="N404" s="168">
        <v>4905950</v>
      </c>
    </row>
    <row r="405" spans="1:14" x14ac:dyDescent="0.25">
      <c r="A405" s="167" t="s">
        <v>559</v>
      </c>
      <c r="B405" s="167" t="s">
        <v>375</v>
      </c>
      <c r="C405" s="167" t="s">
        <v>376</v>
      </c>
      <c r="D405" s="167" t="s">
        <v>554</v>
      </c>
      <c r="E405" s="168">
        <v>6774000</v>
      </c>
      <c r="F405" s="168">
        <v>6774000</v>
      </c>
      <c r="G405" s="168">
        <v>6774000</v>
      </c>
      <c r="H405" s="168">
        <v>0</v>
      </c>
      <c r="I405" s="168">
        <v>0</v>
      </c>
      <c r="J405" s="168">
        <v>0</v>
      </c>
      <c r="K405" s="168">
        <v>0</v>
      </c>
      <c r="L405" s="168">
        <v>0</v>
      </c>
      <c r="M405" s="168">
        <v>6774000</v>
      </c>
      <c r="N405" s="168">
        <v>6774000</v>
      </c>
    </row>
    <row r="406" spans="1:14" x14ac:dyDescent="0.25">
      <c r="A406" s="167" t="s">
        <v>559</v>
      </c>
      <c r="B406" s="167" t="s">
        <v>212</v>
      </c>
      <c r="C406" s="167" t="s">
        <v>213</v>
      </c>
      <c r="D406" s="167" t="s">
        <v>554</v>
      </c>
      <c r="E406" s="168">
        <v>82485000</v>
      </c>
      <c r="F406" s="168">
        <v>70459435</v>
      </c>
      <c r="G406" s="168">
        <v>70459435</v>
      </c>
      <c r="H406" s="168">
        <v>0</v>
      </c>
      <c r="I406" s="168">
        <v>0</v>
      </c>
      <c r="J406" s="168">
        <v>0</v>
      </c>
      <c r="K406" s="168">
        <v>67156593.359999999</v>
      </c>
      <c r="L406" s="168">
        <v>67156593.359999999</v>
      </c>
      <c r="M406" s="168">
        <v>3302841.64</v>
      </c>
      <c r="N406" s="168">
        <v>3302841.64</v>
      </c>
    </row>
    <row r="407" spans="1:14" x14ac:dyDescent="0.25">
      <c r="A407" s="167" t="s">
        <v>559</v>
      </c>
      <c r="B407" s="167" t="s">
        <v>214</v>
      </c>
      <c r="C407" s="167" t="s">
        <v>215</v>
      </c>
      <c r="D407" s="167" t="s">
        <v>554</v>
      </c>
      <c r="E407" s="168">
        <v>9052000</v>
      </c>
      <c r="F407" s="168">
        <v>11712533</v>
      </c>
      <c r="G407" s="168">
        <v>11712533</v>
      </c>
      <c r="H407" s="168">
        <v>0</v>
      </c>
      <c r="I407" s="168">
        <v>8065910</v>
      </c>
      <c r="J407" s="168">
        <v>0</v>
      </c>
      <c r="K407" s="168">
        <v>1829356</v>
      </c>
      <c r="L407" s="168">
        <v>462750</v>
      </c>
      <c r="M407" s="168">
        <v>1817267</v>
      </c>
      <c r="N407" s="168">
        <v>1817267</v>
      </c>
    </row>
    <row r="408" spans="1:14" x14ac:dyDescent="0.25">
      <c r="A408" s="167" t="s">
        <v>559</v>
      </c>
      <c r="B408" s="167" t="s">
        <v>216</v>
      </c>
      <c r="C408" s="167" t="s">
        <v>217</v>
      </c>
      <c r="D408" s="167" t="s">
        <v>554</v>
      </c>
      <c r="E408" s="168">
        <v>12385476000</v>
      </c>
      <c r="F408" s="168">
        <v>12198419019.66</v>
      </c>
      <c r="G408" s="168">
        <v>12198419019.66</v>
      </c>
      <c r="H408" s="168">
        <v>0</v>
      </c>
      <c r="I408" s="168">
        <v>1810048123.48</v>
      </c>
      <c r="J408" s="168">
        <v>0</v>
      </c>
      <c r="K408" s="168">
        <v>8387569508.5799999</v>
      </c>
      <c r="L408" s="168">
        <v>7474989403.2700005</v>
      </c>
      <c r="M408" s="168">
        <v>2000801387.5999999</v>
      </c>
      <c r="N408" s="168">
        <v>2000801387.5999999</v>
      </c>
    </row>
    <row r="409" spans="1:14" x14ac:dyDescent="0.25">
      <c r="A409" s="167" t="s">
        <v>559</v>
      </c>
      <c r="B409" s="167" t="s">
        <v>218</v>
      </c>
      <c r="C409" s="167" t="s">
        <v>219</v>
      </c>
      <c r="D409" s="167" t="s">
        <v>554</v>
      </c>
      <c r="E409" s="168">
        <v>12367947000</v>
      </c>
      <c r="F409" s="168">
        <v>12180890019.66</v>
      </c>
      <c r="G409" s="168">
        <v>12180890019.66</v>
      </c>
      <c r="H409" s="168">
        <v>0</v>
      </c>
      <c r="I409" s="168">
        <v>1810048123.48</v>
      </c>
      <c r="J409" s="168">
        <v>0</v>
      </c>
      <c r="K409" s="168">
        <v>8370074033.5799999</v>
      </c>
      <c r="L409" s="168">
        <v>7457493928.2700005</v>
      </c>
      <c r="M409" s="168">
        <v>2000767862.5999999</v>
      </c>
      <c r="N409" s="168">
        <v>2000767862.5999999</v>
      </c>
    </row>
    <row r="410" spans="1:14" x14ac:dyDescent="0.25">
      <c r="A410" s="167" t="s">
        <v>559</v>
      </c>
      <c r="B410" s="167" t="s">
        <v>377</v>
      </c>
      <c r="C410" s="167" t="s">
        <v>378</v>
      </c>
      <c r="D410" s="167" t="s">
        <v>554</v>
      </c>
      <c r="E410" s="168">
        <v>17529000</v>
      </c>
      <c r="F410" s="168">
        <v>17529000</v>
      </c>
      <c r="G410" s="168">
        <v>17529000</v>
      </c>
      <c r="H410" s="168">
        <v>0</v>
      </c>
      <c r="I410" s="168">
        <v>0</v>
      </c>
      <c r="J410" s="168">
        <v>0</v>
      </c>
      <c r="K410" s="168">
        <v>17495475</v>
      </c>
      <c r="L410" s="168">
        <v>17495475</v>
      </c>
      <c r="M410" s="168">
        <v>33525</v>
      </c>
      <c r="N410" s="168">
        <v>33525</v>
      </c>
    </row>
    <row r="411" spans="1:14" x14ac:dyDescent="0.25">
      <c r="A411" s="167" t="s">
        <v>559</v>
      </c>
      <c r="B411" s="167" t="s">
        <v>220</v>
      </c>
      <c r="C411" s="167" t="s">
        <v>221</v>
      </c>
      <c r="D411" s="167" t="s">
        <v>554</v>
      </c>
      <c r="E411" s="168">
        <v>805027000</v>
      </c>
      <c r="F411" s="168">
        <v>902814495</v>
      </c>
      <c r="G411" s="168">
        <v>902814495</v>
      </c>
      <c r="H411" s="168">
        <v>34844733.579999998</v>
      </c>
      <c r="I411" s="168">
        <v>72797830.430000007</v>
      </c>
      <c r="J411" s="168">
        <v>0</v>
      </c>
      <c r="K411" s="168">
        <v>674040979.25999999</v>
      </c>
      <c r="L411" s="168">
        <v>550017181.13999999</v>
      </c>
      <c r="M411" s="168">
        <v>121130951.73</v>
      </c>
      <c r="N411" s="168">
        <v>121130951.73</v>
      </c>
    </row>
    <row r="412" spans="1:14" x14ac:dyDescent="0.25">
      <c r="A412" s="167" t="s">
        <v>559</v>
      </c>
      <c r="B412" s="167" t="s">
        <v>222</v>
      </c>
      <c r="C412" s="167" t="s">
        <v>223</v>
      </c>
      <c r="D412" s="167" t="s">
        <v>554</v>
      </c>
      <c r="E412" s="168">
        <v>270270000</v>
      </c>
      <c r="F412" s="168">
        <v>264616119</v>
      </c>
      <c r="G412" s="168">
        <v>264616119</v>
      </c>
      <c r="H412" s="168">
        <v>0</v>
      </c>
      <c r="I412" s="168">
        <v>16505491.5</v>
      </c>
      <c r="J412" s="168">
        <v>0</v>
      </c>
      <c r="K412" s="168">
        <v>238452100.24000001</v>
      </c>
      <c r="L412" s="168">
        <v>210859650.74000001</v>
      </c>
      <c r="M412" s="168">
        <v>9658527.2599999998</v>
      </c>
      <c r="N412" s="168">
        <v>9658527.2599999998</v>
      </c>
    </row>
    <row r="413" spans="1:14" x14ac:dyDescent="0.25">
      <c r="A413" s="167" t="s">
        <v>559</v>
      </c>
      <c r="B413" s="167" t="s">
        <v>346</v>
      </c>
      <c r="C413" s="167" t="s">
        <v>347</v>
      </c>
      <c r="D413" s="167" t="s">
        <v>554</v>
      </c>
      <c r="E413" s="168">
        <v>59389000</v>
      </c>
      <c r="F413" s="168">
        <v>59389000</v>
      </c>
      <c r="G413" s="168">
        <v>59389000</v>
      </c>
      <c r="H413" s="168">
        <v>0</v>
      </c>
      <c r="I413" s="168">
        <v>21350000</v>
      </c>
      <c r="J413" s="168">
        <v>0</v>
      </c>
      <c r="K413" s="168">
        <v>29307131.899999999</v>
      </c>
      <c r="L413" s="168">
        <v>29307131.899999999</v>
      </c>
      <c r="M413" s="168">
        <v>8731868.0999999996</v>
      </c>
      <c r="N413" s="168">
        <v>8731868.0999999996</v>
      </c>
    </row>
    <row r="414" spans="1:14" x14ac:dyDescent="0.25">
      <c r="A414" s="167" t="s">
        <v>559</v>
      </c>
      <c r="B414" s="167" t="s">
        <v>348</v>
      </c>
      <c r="C414" s="167" t="s">
        <v>349</v>
      </c>
      <c r="D414" s="167" t="s">
        <v>554</v>
      </c>
      <c r="E414" s="168">
        <v>86339000</v>
      </c>
      <c r="F414" s="168">
        <v>119712827</v>
      </c>
      <c r="G414" s="168">
        <v>119712827</v>
      </c>
      <c r="H414" s="168">
        <v>0</v>
      </c>
      <c r="I414" s="168">
        <v>34681337.5</v>
      </c>
      <c r="J414" s="168">
        <v>0</v>
      </c>
      <c r="K414" s="168">
        <v>76561222.5</v>
      </c>
      <c r="L414" s="168">
        <v>76561222.5</v>
      </c>
      <c r="M414" s="168">
        <v>8470267</v>
      </c>
      <c r="N414" s="168">
        <v>8470267</v>
      </c>
    </row>
    <row r="415" spans="1:14" x14ac:dyDescent="0.25">
      <c r="A415" s="167" t="s">
        <v>559</v>
      </c>
      <c r="B415" s="167" t="s">
        <v>224</v>
      </c>
      <c r="C415" s="167" t="s">
        <v>225</v>
      </c>
      <c r="D415" s="167" t="s">
        <v>554</v>
      </c>
      <c r="E415" s="168">
        <v>197806000</v>
      </c>
      <c r="F415" s="168">
        <v>269283389</v>
      </c>
      <c r="G415" s="168">
        <v>269283389</v>
      </c>
      <c r="H415" s="168">
        <v>0</v>
      </c>
      <c r="I415" s="168">
        <v>261001.43</v>
      </c>
      <c r="J415" s="168">
        <v>0</v>
      </c>
      <c r="K415" s="168">
        <v>233064681.87</v>
      </c>
      <c r="L415" s="168">
        <v>141658573.25</v>
      </c>
      <c r="M415" s="168">
        <v>35957705.700000003</v>
      </c>
      <c r="N415" s="168">
        <v>35957705.700000003</v>
      </c>
    </row>
    <row r="416" spans="1:14" x14ac:dyDescent="0.25">
      <c r="A416" s="167" t="s">
        <v>559</v>
      </c>
      <c r="B416" s="167" t="s">
        <v>226</v>
      </c>
      <c r="C416" s="167" t="s">
        <v>227</v>
      </c>
      <c r="D416" s="167" t="s">
        <v>554</v>
      </c>
      <c r="E416" s="168">
        <v>4005000</v>
      </c>
      <c r="F416" s="168">
        <v>2792000</v>
      </c>
      <c r="G416" s="168">
        <v>2792000</v>
      </c>
      <c r="H416" s="168">
        <v>0</v>
      </c>
      <c r="I416" s="168">
        <v>0</v>
      </c>
      <c r="J416" s="168">
        <v>0</v>
      </c>
      <c r="K416" s="168">
        <v>2744000</v>
      </c>
      <c r="L416" s="168">
        <v>2744000</v>
      </c>
      <c r="M416" s="168">
        <v>48000</v>
      </c>
      <c r="N416" s="168">
        <v>48000</v>
      </c>
    </row>
    <row r="417" spans="1:14" x14ac:dyDescent="0.25">
      <c r="A417" s="167" t="s">
        <v>559</v>
      </c>
      <c r="B417" s="167" t="s">
        <v>228</v>
      </c>
      <c r="C417" s="167" t="s">
        <v>229</v>
      </c>
      <c r="D417" s="167" t="s">
        <v>554</v>
      </c>
      <c r="E417" s="168">
        <v>113982000</v>
      </c>
      <c r="F417" s="168">
        <v>113982000</v>
      </c>
      <c r="G417" s="168">
        <v>113982000</v>
      </c>
      <c r="H417" s="168">
        <v>34844733.579999998</v>
      </c>
      <c r="I417" s="168">
        <v>0</v>
      </c>
      <c r="J417" s="168">
        <v>0</v>
      </c>
      <c r="K417" s="168">
        <v>45895201.75</v>
      </c>
      <c r="L417" s="168">
        <v>45895201.75</v>
      </c>
      <c r="M417" s="168">
        <v>33242064.670000002</v>
      </c>
      <c r="N417" s="168">
        <v>33242064.670000002</v>
      </c>
    </row>
    <row r="418" spans="1:14" x14ac:dyDescent="0.25">
      <c r="A418" s="167" t="s">
        <v>559</v>
      </c>
      <c r="B418" s="167" t="s">
        <v>230</v>
      </c>
      <c r="C418" s="167" t="s">
        <v>231</v>
      </c>
      <c r="D418" s="167" t="s">
        <v>554</v>
      </c>
      <c r="E418" s="168">
        <v>73236000</v>
      </c>
      <c r="F418" s="168">
        <v>73039160</v>
      </c>
      <c r="G418" s="168">
        <v>73039160</v>
      </c>
      <c r="H418" s="168">
        <v>0</v>
      </c>
      <c r="I418" s="168">
        <v>0</v>
      </c>
      <c r="J418" s="168">
        <v>0</v>
      </c>
      <c r="K418" s="168">
        <v>48016641</v>
      </c>
      <c r="L418" s="168">
        <v>42991401</v>
      </c>
      <c r="M418" s="168">
        <v>25022519</v>
      </c>
      <c r="N418" s="168">
        <v>25022519</v>
      </c>
    </row>
    <row r="419" spans="1:14" x14ac:dyDescent="0.25">
      <c r="A419" s="167" t="s">
        <v>559</v>
      </c>
      <c r="B419" s="167" t="s">
        <v>232</v>
      </c>
      <c r="C419" s="167" t="s">
        <v>233</v>
      </c>
      <c r="D419" s="167" t="s">
        <v>554</v>
      </c>
      <c r="E419" s="168">
        <v>320848000</v>
      </c>
      <c r="F419" s="168">
        <v>251144368</v>
      </c>
      <c r="G419" s="168">
        <v>251144368</v>
      </c>
      <c r="H419" s="168">
        <v>14935802</v>
      </c>
      <c r="I419" s="168">
        <v>12331088.6</v>
      </c>
      <c r="J419" s="168">
        <v>0</v>
      </c>
      <c r="K419" s="168">
        <v>200575956.25</v>
      </c>
      <c r="L419" s="168">
        <v>169455482.25999999</v>
      </c>
      <c r="M419" s="168">
        <v>23301521.149999999</v>
      </c>
      <c r="N419" s="168">
        <v>23301521.149999999</v>
      </c>
    </row>
    <row r="420" spans="1:14" x14ac:dyDescent="0.25">
      <c r="A420" s="167" t="s">
        <v>559</v>
      </c>
      <c r="B420" s="167" t="s">
        <v>234</v>
      </c>
      <c r="C420" s="167" t="s">
        <v>235</v>
      </c>
      <c r="D420" s="167" t="s">
        <v>554</v>
      </c>
      <c r="E420" s="168">
        <v>86793000</v>
      </c>
      <c r="F420" s="168">
        <v>86961833</v>
      </c>
      <c r="G420" s="168">
        <v>86961833</v>
      </c>
      <c r="H420" s="168">
        <v>14935802</v>
      </c>
      <c r="I420" s="168">
        <v>71250</v>
      </c>
      <c r="J420" s="168">
        <v>0</v>
      </c>
      <c r="K420" s="168">
        <v>58371927.189999998</v>
      </c>
      <c r="L420" s="168">
        <v>39371927.189999998</v>
      </c>
      <c r="M420" s="168">
        <v>13582853.810000001</v>
      </c>
      <c r="N420" s="168">
        <v>13582853.810000001</v>
      </c>
    </row>
    <row r="421" spans="1:14" x14ac:dyDescent="0.25">
      <c r="A421" s="167" t="s">
        <v>559</v>
      </c>
      <c r="B421" s="167" t="s">
        <v>236</v>
      </c>
      <c r="C421" s="167" t="s">
        <v>237</v>
      </c>
      <c r="D421" s="167" t="s">
        <v>554</v>
      </c>
      <c r="E421" s="168">
        <v>234055000</v>
      </c>
      <c r="F421" s="168">
        <v>164182535</v>
      </c>
      <c r="G421" s="168">
        <v>164182535</v>
      </c>
      <c r="H421" s="168">
        <v>0</v>
      </c>
      <c r="I421" s="168">
        <v>12259838.6</v>
      </c>
      <c r="J421" s="168">
        <v>0</v>
      </c>
      <c r="K421" s="168">
        <v>142204029.06</v>
      </c>
      <c r="L421" s="168">
        <v>130083555.06999999</v>
      </c>
      <c r="M421" s="168">
        <v>9718667.3399999999</v>
      </c>
      <c r="N421" s="168">
        <v>9718667.3399999999</v>
      </c>
    </row>
    <row r="422" spans="1:14" x14ac:dyDescent="0.25">
      <c r="A422" s="167" t="s">
        <v>559</v>
      </c>
      <c r="B422" s="167" t="s">
        <v>238</v>
      </c>
      <c r="C422" s="167" t="s">
        <v>239</v>
      </c>
      <c r="D422" s="167" t="s">
        <v>554</v>
      </c>
      <c r="E422" s="168">
        <v>2740509000</v>
      </c>
      <c r="F422" s="168">
        <v>2723480625</v>
      </c>
      <c r="G422" s="168">
        <v>2723480625</v>
      </c>
      <c r="H422" s="168">
        <v>62318649.700000003</v>
      </c>
      <c r="I422" s="168">
        <v>102311410.20999999</v>
      </c>
      <c r="J422" s="168">
        <v>0</v>
      </c>
      <c r="K422" s="168">
        <v>2403941360.3600001</v>
      </c>
      <c r="L422" s="168">
        <v>2263723151.0900002</v>
      </c>
      <c r="M422" s="168">
        <v>154909204.72999999</v>
      </c>
      <c r="N422" s="168">
        <v>154909204.72999999</v>
      </c>
    </row>
    <row r="423" spans="1:14" x14ac:dyDescent="0.25">
      <c r="A423" s="167" t="s">
        <v>559</v>
      </c>
      <c r="B423" s="167" t="s">
        <v>240</v>
      </c>
      <c r="C423" s="167" t="s">
        <v>241</v>
      </c>
      <c r="D423" s="167" t="s">
        <v>554</v>
      </c>
      <c r="E423" s="168">
        <v>32937000</v>
      </c>
      <c r="F423" s="168">
        <v>20202075</v>
      </c>
      <c r="G423" s="168">
        <v>20202075</v>
      </c>
      <c r="H423" s="168">
        <v>0</v>
      </c>
      <c r="I423" s="168">
        <v>2781291.64</v>
      </c>
      <c r="J423" s="168">
        <v>0</v>
      </c>
      <c r="K423" s="168">
        <v>7082104</v>
      </c>
      <c r="L423" s="168">
        <v>243680</v>
      </c>
      <c r="M423" s="168">
        <v>10338679.359999999</v>
      </c>
      <c r="N423" s="168">
        <v>10338679.359999999</v>
      </c>
    </row>
    <row r="424" spans="1:14" x14ac:dyDescent="0.25">
      <c r="A424" s="167" t="s">
        <v>559</v>
      </c>
      <c r="B424" s="167" t="s">
        <v>242</v>
      </c>
      <c r="C424" s="167" t="s">
        <v>243</v>
      </c>
      <c r="D424" s="167" t="s">
        <v>554</v>
      </c>
      <c r="E424" s="168">
        <v>9827000</v>
      </c>
      <c r="F424" s="168">
        <v>15727000</v>
      </c>
      <c r="G424" s="168">
        <v>15727000</v>
      </c>
      <c r="H424" s="168">
        <v>7380460.8499999996</v>
      </c>
      <c r="I424" s="168">
        <v>1688522.36</v>
      </c>
      <c r="J424" s="168">
        <v>0</v>
      </c>
      <c r="K424" s="168">
        <v>4160066.19</v>
      </c>
      <c r="L424" s="168">
        <v>4160066.19</v>
      </c>
      <c r="M424" s="168">
        <v>2497950.6</v>
      </c>
      <c r="N424" s="168">
        <v>2497950.6</v>
      </c>
    </row>
    <row r="425" spans="1:14" x14ac:dyDescent="0.25">
      <c r="A425" s="167" t="s">
        <v>559</v>
      </c>
      <c r="B425" s="167" t="s">
        <v>244</v>
      </c>
      <c r="C425" s="167" t="s">
        <v>245</v>
      </c>
      <c r="D425" s="167" t="s">
        <v>554</v>
      </c>
      <c r="E425" s="168">
        <v>318624000</v>
      </c>
      <c r="F425" s="168">
        <v>222056825</v>
      </c>
      <c r="G425" s="168">
        <v>222056825</v>
      </c>
      <c r="H425" s="168">
        <v>0</v>
      </c>
      <c r="I425" s="168">
        <v>13658197.880000001</v>
      </c>
      <c r="J425" s="168">
        <v>0</v>
      </c>
      <c r="K425" s="168">
        <v>131702730.65000001</v>
      </c>
      <c r="L425" s="168">
        <v>121399350.65000001</v>
      </c>
      <c r="M425" s="168">
        <v>76695896.469999999</v>
      </c>
      <c r="N425" s="168">
        <v>76695896.469999999</v>
      </c>
    </row>
    <row r="426" spans="1:14" x14ac:dyDescent="0.25">
      <c r="A426" s="167" t="s">
        <v>559</v>
      </c>
      <c r="B426" s="167" t="s">
        <v>246</v>
      </c>
      <c r="C426" s="167" t="s">
        <v>247</v>
      </c>
      <c r="D426" s="167" t="s">
        <v>554</v>
      </c>
      <c r="E426" s="168">
        <v>1005783000</v>
      </c>
      <c r="F426" s="168">
        <v>1041507210</v>
      </c>
      <c r="G426" s="168">
        <v>1041507210</v>
      </c>
      <c r="H426" s="168">
        <v>44671508.850000001</v>
      </c>
      <c r="I426" s="168">
        <v>1380</v>
      </c>
      <c r="J426" s="168">
        <v>0</v>
      </c>
      <c r="K426" s="168">
        <v>994155682.78999996</v>
      </c>
      <c r="L426" s="168">
        <v>941623472.78999996</v>
      </c>
      <c r="M426" s="168">
        <v>2678638.36</v>
      </c>
      <c r="N426" s="168">
        <v>2678638.36</v>
      </c>
    </row>
    <row r="427" spans="1:14" x14ac:dyDescent="0.25">
      <c r="A427" s="167" t="s">
        <v>559</v>
      </c>
      <c r="B427" s="167" t="s">
        <v>248</v>
      </c>
      <c r="C427" s="167" t="s">
        <v>249</v>
      </c>
      <c r="D427" s="167" t="s">
        <v>554</v>
      </c>
      <c r="E427" s="168">
        <v>279126000</v>
      </c>
      <c r="F427" s="168">
        <v>255067666</v>
      </c>
      <c r="G427" s="168">
        <v>255067666</v>
      </c>
      <c r="H427" s="168">
        <v>0</v>
      </c>
      <c r="I427" s="168">
        <v>17394876.309999999</v>
      </c>
      <c r="J427" s="168">
        <v>0</v>
      </c>
      <c r="K427" s="168">
        <v>227497372.09999999</v>
      </c>
      <c r="L427" s="168">
        <v>222400370.15000001</v>
      </c>
      <c r="M427" s="168">
        <v>10175417.59</v>
      </c>
      <c r="N427" s="168">
        <v>10175417.59</v>
      </c>
    </row>
    <row r="428" spans="1:14" x14ac:dyDescent="0.25">
      <c r="A428" s="167" t="s">
        <v>559</v>
      </c>
      <c r="B428" s="167" t="s">
        <v>250</v>
      </c>
      <c r="C428" s="167" t="s">
        <v>251</v>
      </c>
      <c r="D428" s="167" t="s">
        <v>554</v>
      </c>
      <c r="E428" s="168">
        <v>775142000</v>
      </c>
      <c r="F428" s="168">
        <v>786234067</v>
      </c>
      <c r="G428" s="168">
        <v>786234067</v>
      </c>
      <c r="H428" s="168">
        <v>0</v>
      </c>
      <c r="I428" s="168">
        <v>18359964</v>
      </c>
      <c r="J428" s="168">
        <v>0</v>
      </c>
      <c r="K428" s="168">
        <v>755093672.39999998</v>
      </c>
      <c r="L428" s="168">
        <v>744257620.64999998</v>
      </c>
      <c r="M428" s="168">
        <v>12780430.6</v>
      </c>
      <c r="N428" s="168">
        <v>12780430.6</v>
      </c>
    </row>
    <row r="429" spans="1:14" x14ac:dyDescent="0.25">
      <c r="A429" s="167" t="s">
        <v>559</v>
      </c>
      <c r="B429" s="167" t="s">
        <v>252</v>
      </c>
      <c r="C429" s="167" t="s">
        <v>253</v>
      </c>
      <c r="D429" s="167" t="s">
        <v>554</v>
      </c>
      <c r="E429" s="168">
        <v>124983000</v>
      </c>
      <c r="F429" s="168">
        <v>124983000</v>
      </c>
      <c r="G429" s="168">
        <v>124983000</v>
      </c>
      <c r="H429" s="168">
        <v>0</v>
      </c>
      <c r="I429" s="168">
        <v>10265321.210000001</v>
      </c>
      <c r="J429" s="168">
        <v>0</v>
      </c>
      <c r="K429" s="168">
        <v>100769735.45999999</v>
      </c>
      <c r="L429" s="168">
        <v>81705284.239999995</v>
      </c>
      <c r="M429" s="168">
        <v>13947943.33</v>
      </c>
      <c r="N429" s="168">
        <v>13947943.33</v>
      </c>
    </row>
    <row r="430" spans="1:14" x14ac:dyDescent="0.25">
      <c r="A430" s="167" t="s">
        <v>559</v>
      </c>
      <c r="B430" s="167" t="s">
        <v>254</v>
      </c>
      <c r="C430" s="167" t="s">
        <v>255</v>
      </c>
      <c r="D430" s="167" t="s">
        <v>554</v>
      </c>
      <c r="E430" s="168">
        <v>194087000</v>
      </c>
      <c r="F430" s="168">
        <v>257702782</v>
      </c>
      <c r="G430" s="168">
        <v>257702782</v>
      </c>
      <c r="H430" s="168">
        <v>10266680</v>
      </c>
      <c r="I430" s="168">
        <v>38161856.810000002</v>
      </c>
      <c r="J430" s="168">
        <v>0</v>
      </c>
      <c r="K430" s="168">
        <v>183479996.77000001</v>
      </c>
      <c r="L430" s="168">
        <v>147933306.41999999</v>
      </c>
      <c r="M430" s="168">
        <v>25794248.420000002</v>
      </c>
      <c r="N430" s="168">
        <v>25794248.420000002</v>
      </c>
    </row>
    <row r="431" spans="1:14" x14ac:dyDescent="0.25">
      <c r="A431" s="167" t="s">
        <v>559</v>
      </c>
      <c r="B431" s="167" t="s">
        <v>286</v>
      </c>
      <c r="C431" s="167" t="s">
        <v>287</v>
      </c>
      <c r="D431" s="167" t="s">
        <v>554</v>
      </c>
      <c r="E431" s="168">
        <v>6023303000</v>
      </c>
      <c r="F431" s="168">
        <v>5079630802</v>
      </c>
      <c r="G431" s="168">
        <v>5079630802</v>
      </c>
      <c r="H431" s="168">
        <v>24613875</v>
      </c>
      <c r="I431" s="168">
        <v>1031507634.72</v>
      </c>
      <c r="J431" s="168">
        <v>0</v>
      </c>
      <c r="K431" s="168">
        <v>2619875985.73</v>
      </c>
      <c r="L431" s="168">
        <v>1447788873.1199999</v>
      </c>
      <c r="M431" s="168">
        <v>1403633306.55</v>
      </c>
      <c r="N431" s="168">
        <v>1403633306.55</v>
      </c>
    </row>
    <row r="432" spans="1:14" x14ac:dyDescent="0.25">
      <c r="A432" s="167" t="s">
        <v>559</v>
      </c>
      <c r="B432" s="167" t="s">
        <v>288</v>
      </c>
      <c r="C432" s="167" t="s">
        <v>289</v>
      </c>
      <c r="D432" s="167" t="s">
        <v>554</v>
      </c>
      <c r="E432" s="168">
        <v>1843969000</v>
      </c>
      <c r="F432" s="168">
        <v>1978002508</v>
      </c>
      <c r="G432" s="168">
        <v>1978002508</v>
      </c>
      <c r="H432" s="168">
        <v>24613875</v>
      </c>
      <c r="I432" s="168">
        <v>180835047.28</v>
      </c>
      <c r="J432" s="168">
        <v>0</v>
      </c>
      <c r="K432" s="168">
        <v>1496356787.99</v>
      </c>
      <c r="L432" s="168">
        <v>1045499758.79</v>
      </c>
      <c r="M432" s="168">
        <v>276196797.73000002</v>
      </c>
      <c r="N432" s="168">
        <v>276196797.73000002</v>
      </c>
    </row>
    <row r="433" spans="1:14" x14ac:dyDescent="0.25">
      <c r="A433" s="167" t="s">
        <v>559</v>
      </c>
      <c r="B433" s="167" t="s">
        <v>290</v>
      </c>
      <c r="C433" s="167" t="s">
        <v>291</v>
      </c>
      <c r="D433" s="167" t="s">
        <v>556</v>
      </c>
      <c r="E433" s="168">
        <v>153678000</v>
      </c>
      <c r="F433" s="168">
        <v>64479380</v>
      </c>
      <c r="G433" s="168">
        <v>64479380</v>
      </c>
      <c r="H433" s="168">
        <v>0</v>
      </c>
      <c r="I433" s="168">
        <v>14669020</v>
      </c>
      <c r="J433" s="168">
        <v>0</v>
      </c>
      <c r="K433" s="168">
        <v>38825581.5</v>
      </c>
      <c r="L433" s="168">
        <v>35902328.700000003</v>
      </c>
      <c r="M433" s="168">
        <v>10984778.5</v>
      </c>
      <c r="N433" s="168">
        <v>10984778.5</v>
      </c>
    </row>
    <row r="434" spans="1:14" x14ac:dyDescent="0.25">
      <c r="A434" s="167" t="s">
        <v>559</v>
      </c>
      <c r="B434" s="167" t="s">
        <v>411</v>
      </c>
      <c r="C434" s="167" t="s">
        <v>514</v>
      </c>
      <c r="D434" s="167" t="s">
        <v>556</v>
      </c>
      <c r="E434" s="168">
        <v>420000000</v>
      </c>
      <c r="F434" s="168">
        <v>420000000</v>
      </c>
      <c r="G434" s="168">
        <v>420000000</v>
      </c>
      <c r="H434" s="168">
        <v>0</v>
      </c>
      <c r="I434" s="168">
        <v>0</v>
      </c>
      <c r="J434" s="168">
        <v>0</v>
      </c>
      <c r="K434" s="168">
        <v>408450000</v>
      </c>
      <c r="L434" s="168">
        <v>408450000</v>
      </c>
      <c r="M434" s="168">
        <v>11550000</v>
      </c>
      <c r="N434" s="168">
        <v>11550000</v>
      </c>
    </row>
    <row r="435" spans="1:14" x14ac:dyDescent="0.25">
      <c r="A435" s="167" t="s">
        <v>559</v>
      </c>
      <c r="B435" s="167" t="s">
        <v>292</v>
      </c>
      <c r="C435" s="167" t="s">
        <v>293</v>
      </c>
      <c r="D435" s="167" t="s">
        <v>554</v>
      </c>
      <c r="E435" s="168">
        <v>0</v>
      </c>
      <c r="F435" s="168">
        <v>11500000</v>
      </c>
      <c r="G435" s="168">
        <v>11500000</v>
      </c>
      <c r="H435" s="168">
        <v>0</v>
      </c>
      <c r="I435" s="168">
        <v>0</v>
      </c>
      <c r="J435" s="168">
        <v>0</v>
      </c>
      <c r="K435" s="168">
        <v>8582442.8800000008</v>
      </c>
      <c r="L435" s="168">
        <v>8582442.8800000008</v>
      </c>
      <c r="M435" s="168">
        <v>2917557.12</v>
      </c>
      <c r="N435" s="168">
        <v>2917557.12</v>
      </c>
    </row>
    <row r="436" spans="1:14" x14ac:dyDescent="0.25">
      <c r="A436" s="167" t="s">
        <v>559</v>
      </c>
      <c r="B436" s="167" t="s">
        <v>292</v>
      </c>
      <c r="C436" s="167" t="s">
        <v>293</v>
      </c>
      <c r="D436" s="167" t="s">
        <v>556</v>
      </c>
      <c r="E436" s="168">
        <v>119004000</v>
      </c>
      <c r="F436" s="168">
        <v>156004000</v>
      </c>
      <c r="G436" s="168">
        <v>156004000</v>
      </c>
      <c r="H436" s="168">
        <v>24613875</v>
      </c>
      <c r="I436" s="168">
        <v>1016000</v>
      </c>
      <c r="J436" s="168">
        <v>0</v>
      </c>
      <c r="K436" s="168">
        <v>98150680.519999996</v>
      </c>
      <c r="L436" s="168">
        <v>18472200</v>
      </c>
      <c r="M436" s="168">
        <v>32223444.48</v>
      </c>
      <c r="N436" s="168">
        <v>32223444.48</v>
      </c>
    </row>
    <row r="437" spans="1:14" x14ac:dyDescent="0.25">
      <c r="A437" s="167" t="s">
        <v>559</v>
      </c>
      <c r="B437" s="167" t="s">
        <v>294</v>
      </c>
      <c r="C437" s="167" t="s">
        <v>295</v>
      </c>
      <c r="D437" s="167" t="s">
        <v>554</v>
      </c>
      <c r="E437" s="168">
        <v>0</v>
      </c>
      <c r="F437" s="168">
        <v>17000000</v>
      </c>
      <c r="G437" s="168">
        <v>17000000</v>
      </c>
      <c r="H437" s="168">
        <v>0</v>
      </c>
      <c r="I437" s="168">
        <v>0</v>
      </c>
      <c r="J437" s="168">
        <v>0</v>
      </c>
      <c r="K437" s="168">
        <v>13608441.75</v>
      </c>
      <c r="L437" s="168">
        <v>6508200</v>
      </c>
      <c r="M437" s="168">
        <v>3391558.25</v>
      </c>
      <c r="N437" s="168">
        <v>3391558.25</v>
      </c>
    </row>
    <row r="438" spans="1:14" x14ac:dyDescent="0.25">
      <c r="A438" s="167" t="s">
        <v>559</v>
      </c>
      <c r="B438" s="167" t="s">
        <v>294</v>
      </c>
      <c r="C438" s="167" t="s">
        <v>295</v>
      </c>
      <c r="D438" s="167" t="s">
        <v>556</v>
      </c>
      <c r="E438" s="168">
        <v>102656000</v>
      </c>
      <c r="F438" s="168">
        <v>99186115</v>
      </c>
      <c r="G438" s="168">
        <v>99186115</v>
      </c>
      <c r="H438" s="168">
        <v>0</v>
      </c>
      <c r="I438" s="168">
        <v>16787500</v>
      </c>
      <c r="J438" s="168">
        <v>0</v>
      </c>
      <c r="K438" s="168">
        <v>60838606.020000003</v>
      </c>
      <c r="L438" s="168">
        <v>59888606.020000003</v>
      </c>
      <c r="M438" s="168">
        <v>21560008.98</v>
      </c>
      <c r="N438" s="168">
        <v>21560008.98</v>
      </c>
    </row>
    <row r="439" spans="1:14" x14ac:dyDescent="0.25">
      <c r="A439" s="167" t="s">
        <v>559</v>
      </c>
      <c r="B439" s="167" t="s">
        <v>296</v>
      </c>
      <c r="C439" s="167" t="s">
        <v>297</v>
      </c>
      <c r="D439" s="167" t="s">
        <v>556</v>
      </c>
      <c r="E439" s="168">
        <v>555415000</v>
      </c>
      <c r="F439" s="168">
        <v>511915000</v>
      </c>
      <c r="G439" s="168">
        <v>511915000</v>
      </c>
      <c r="H439" s="168">
        <v>0</v>
      </c>
      <c r="I439" s="168">
        <v>17747790.32</v>
      </c>
      <c r="J439" s="168">
        <v>0</v>
      </c>
      <c r="K439" s="168">
        <v>380214648.17000002</v>
      </c>
      <c r="L439" s="168">
        <v>48640159.82</v>
      </c>
      <c r="M439" s="168">
        <v>113952561.51000001</v>
      </c>
      <c r="N439" s="168">
        <v>113952561.51000001</v>
      </c>
    </row>
    <row r="440" spans="1:14" x14ac:dyDescent="0.25">
      <c r="A440" s="167" t="s">
        <v>559</v>
      </c>
      <c r="B440" s="167" t="s">
        <v>298</v>
      </c>
      <c r="C440" s="167" t="s">
        <v>299</v>
      </c>
      <c r="D440" s="167" t="s">
        <v>554</v>
      </c>
      <c r="E440" s="168">
        <v>0</v>
      </c>
      <c r="F440" s="168">
        <v>13089895</v>
      </c>
      <c r="G440" s="168">
        <v>13089895</v>
      </c>
      <c r="H440" s="168">
        <v>0</v>
      </c>
      <c r="I440" s="168">
        <v>3669648.4</v>
      </c>
      <c r="J440" s="168">
        <v>0</v>
      </c>
      <c r="K440" s="168">
        <v>7606202.0499999998</v>
      </c>
      <c r="L440" s="168">
        <v>6170042.0499999998</v>
      </c>
      <c r="M440" s="168">
        <v>1814044.55</v>
      </c>
      <c r="N440" s="168">
        <v>1814044.55</v>
      </c>
    </row>
    <row r="441" spans="1:14" x14ac:dyDescent="0.25">
      <c r="A441" s="167" t="s">
        <v>559</v>
      </c>
      <c r="B441" s="167" t="s">
        <v>298</v>
      </c>
      <c r="C441" s="167" t="s">
        <v>299</v>
      </c>
      <c r="D441" s="167" t="s">
        <v>556</v>
      </c>
      <c r="E441" s="168">
        <v>48166000</v>
      </c>
      <c r="F441" s="168">
        <v>48166000</v>
      </c>
      <c r="G441" s="168">
        <v>48166000</v>
      </c>
      <c r="H441" s="168">
        <v>0</v>
      </c>
      <c r="I441" s="168">
        <v>10539114.4</v>
      </c>
      <c r="J441" s="168">
        <v>0</v>
      </c>
      <c r="K441" s="168">
        <v>34213134.829999998</v>
      </c>
      <c r="L441" s="168">
        <v>32776974.829999998</v>
      </c>
      <c r="M441" s="168">
        <v>3413750.77</v>
      </c>
      <c r="N441" s="168">
        <v>3413750.77</v>
      </c>
    </row>
    <row r="442" spans="1:14" x14ac:dyDescent="0.25">
      <c r="A442" s="167" t="s">
        <v>559</v>
      </c>
      <c r="B442" s="167" t="s">
        <v>300</v>
      </c>
      <c r="C442" s="167" t="s">
        <v>301</v>
      </c>
      <c r="D442" s="167" t="s">
        <v>556</v>
      </c>
      <c r="E442" s="168">
        <v>4402000</v>
      </c>
      <c r="F442" s="168">
        <v>4402000</v>
      </c>
      <c r="G442" s="168">
        <v>4402000</v>
      </c>
      <c r="H442" s="168">
        <v>0</v>
      </c>
      <c r="I442" s="168">
        <v>0</v>
      </c>
      <c r="J442" s="168">
        <v>0</v>
      </c>
      <c r="K442" s="168">
        <v>0</v>
      </c>
      <c r="L442" s="168">
        <v>0</v>
      </c>
      <c r="M442" s="168">
        <v>4402000</v>
      </c>
      <c r="N442" s="168">
        <v>4402000</v>
      </c>
    </row>
    <row r="443" spans="1:14" x14ac:dyDescent="0.25">
      <c r="A443" s="167" t="s">
        <v>559</v>
      </c>
      <c r="B443" s="167" t="s">
        <v>302</v>
      </c>
      <c r="C443" s="167" t="s">
        <v>303</v>
      </c>
      <c r="D443" s="167" t="s">
        <v>554</v>
      </c>
      <c r="E443" s="168">
        <v>0</v>
      </c>
      <c r="F443" s="168">
        <v>102745000</v>
      </c>
      <c r="G443" s="168">
        <v>102745000</v>
      </c>
      <c r="H443" s="168">
        <v>0</v>
      </c>
      <c r="I443" s="168">
        <v>3500000</v>
      </c>
      <c r="J443" s="168">
        <v>0</v>
      </c>
      <c r="K443" s="168">
        <v>58647746.490000002</v>
      </c>
      <c r="L443" s="168">
        <v>57309746.490000002</v>
      </c>
      <c r="M443" s="168">
        <v>40597253.509999998</v>
      </c>
      <c r="N443" s="168">
        <v>40597253.509999998</v>
      </c>
    </row>
    <row r="444" spans="1:14" x14ac:dyDescent="0.25">
      <c r="A444" s="167" t="s">
        <v>559</v>
      </c>
      <c r="B444" s="167" t="s">
        <v>302</v>
      </c>
      <c r="C444" s="167" t="s">
        <v>303</v>
      </c>
      <c r="D444" s="167" t="s">
        <v>556</v>
      </c>
      <c r="E444" s="168">
        <v>440648000</v>
      </c>
      <c r="F444" s="168">
        <v>529515118</v>
      </c>
      <c r="G444" s="168">
        <v>529515118</v>
      </c>
      <c r="H444" s="168">
        <v>0</v>
      </c>
      <c r="I444" s="168">
        <v>112905974.16</v>
      </c>
      <c r="J444" s="168">
        <v>0</v>
      </c>
      <c r="K444" s="168">
        <v>387219303.77999997</v>
      </c>
      <c r="L444" s="168">
        <v>362799058</v>
      </c>
      <c r="M444" s="168">
        <v>29389840.059999999</v>
      </c>
      <c r="N444" s="168">
        <v>29389840.059999999</v>
      </c>
    </row>
    <row r="445" spans="1:14" x14ac:dyDescent="0.25">
      <c r="A445" s="167" t="s">
        <v>559</v>
      </c>
      <c r="B445" s="167" t="s">
        <v>304</v>
      </c>
      <c r="C445" s="167" t="s">
        <v>305</v>
      </c>
      <c r="D445" s="167" t="s">
        <v>556</v>
      </c>
      <c r="E445" s="168">
        <v>3845074000</v>
      </c>
      <c r="F445" s="168">
        <v>2769418710</v>
      </c>
      <c r="G445" s="168">
        <v>2769418710</v>
      </c>
      <c r="H445" s="168">
        <v>0</v>
      </c>
      <c r="I445" s="168">
        <v>849852290.62</v>
      </c>
      <c r="J445" s="168">
        <v>0</v>
      </c>
      <c r="K445" s="168">
        <v>953078441.75999999</v>
      </c>
      <c r="L445" s="168">
        <v>392908063.82999998</v>
      </c>
      <c r="M445" s="168">
        <v>966487977.62</v>
      </c>
      <c r="N445" s="168">
        <v>966487977.62</v>
      </c>
    </row>
    <row r="446" spans="1:14" x14ac:dyDescent="0.25">
      <c r="A446" s="167" t="s">
        <v>559</v>
      </c>
      <c r="B446" s="167" t="s">
        <v>306</v>
      </c>
      <c r="C446" s="167" t="s">
        <v>307</v>
      </c>
      <c r="D446" s="167" t="s">
        <v>556</v>
      </c>
      <c r="E446" s="168">
        <v>2960000000</v>
      </c>
      <c r="F446" s="168">
        <v>2705934350</v>
      </c>
      <c r="G446" s="168">
        <v>2705934350</v>
      </c>
      <c r="H446" s="168">
        <v>0</v>
      </c>
      <c r="I446" s="168">
        <v>849178290.62</v>
      </c>
      <c r="J446" s="168">
        <v>0</v>
      </c>
      <c r="K446" s="168">
        <v>893117878.75999999</v>
      </c>
      <c r="L446" s="168">
        <v>333621500.82999998</v>
      </c>
      <c r="M446" s="168">
        <v>963638180.62</v>
      </c>
      <c r="N446" s="168">
        <v>963638180.62</v>
      </c>
    </row>
    <row r="447" spans="1:14" x14ac:dyDescent="0.25">
      <c r="A447" s="167" t="s">
        <v>559</v>
      </c>
      <c r="B447" s="167" t="s">
        <v>379</v>
      </c>
      <c r="C447" s="167" t="s">
        <v>380</v>
      </c>
      <c r="D447" s="167" t="s">
        <v>556</v>
      </c>
      <c r="E447" s="168">
        <v>885074000</v>
      </c>
      <c r="F447" s="168">
        <v>63484360</v>
      </c>
      <c r="G447" s="168">
        <v>63484360</v>
      </c>
      <c r="H447" s="168">
        <v>0</v>
      </c>
      <c r="I447" s="168">
        <v>674000</v>
      </c>
      <c r="J447" s="168">
        <v>0</v>
      </c>
      <c r="K447" s="168">
        <v>59960563</v>
      </c>
      <c r="L447" s="168">
        <v>59286563</v>
      </c>
      <c r="M447" s="168">
        <v>2849797</v>
      </c>
      <c r="N447" s="168">
        <v>2849797</v>
      </c>
    </row>
    <row r="448" spans="1:14" x14ac:dyDescent="0.25">
      <c r="A448" s="167" t="s">
        <v>559</v>
      </c>
      <c r="B448" s="167" t="s">
        <v>350</v>
      </c>
      <c r="C448" s="167" t="s">
        <v>351</v>
      </c>
      <c r="D448" s="167" t="s">
        <v>556</v>
      </c>
      <c r="E448" s="168">
        <v>334260000</v>
      </c>
      <c r="F448" s="168">
        <v>332209584</v>
      </c>
      <c r="G448" s="168">
        <v>332209584</v>
      </c>
      <c r="H448" s="168">
        <v>0</v>
      </c>
      <c r="I448" s="168">
        <v>820296.82</v>
      </c>
      <c r="J448" s="168">
        <v>0</v>
      </c>
      <c r="K448" s="168">
        <v>170440755.97999999</v>
      </c>
      <c r="L448" s="168">
        <v>9381050.5</v>
      </c>
      <c r="M448" s="168">
        <v>160948531.19999999</v>
      </c>
      <c r="N448" s="168">
        <v>160948531.19999999</v>
      </c>
    </row>
    <row r="449" spans="1:14" x14ac:dyDescent="0.25">
      <c r="A449" s="167" t="s">
        <v>559</v>
      </c>
      <c r="B449" s="167" t="s">
        <v>352</v>
      </c>
      <c r="C449" s="167" t="s">
        <v>353</v>
      </c>
      <c r="D449" s="167" t="s">
        <v>556</v>
      </c>
      <c r="E449" s="168">
        <v>334260000</v>
      </c>
      <c r="F449" s="168">
        <v>332209584</v>
      </c>
      <c r="G449" s="168">
        <v>332209584</v>
      </c>
      <c r="H449" s="168">
        <v>0</v>
      </c>
      <c r="I449" s="168">
        <v>820296.82</v>
      </c>
      <c r="J449" s="168">
        <v>0</v>
      </c>
      <c r="K449" s="168">
        <v>170440755.97999999</v>
      </c>
      <c r="L449" s="168">
        <v>9381050.5</v>
      </c>
      <c r="M449" s="168">
        <v>160948531.19999999</v>
      </c>
      <c r="N449" s="168">
        <v>160948531.19999999</v>
      </c>
    </row>
    <row r="450" spans="1:14" x14ac:dyDescent="0.25">
      <c r="A450" s="167" t="s">
        <v>559</v>
      </c>
      <c r="B450" s="167" t="s">
        <v>256</v>
      </c>
      <c r="C450" s="167" t="s">
        <v>257</v>
      </c>
      <c r="D450" s="167" t="s">
        <v>554</v>
      </c>
      <c r="E450" s="168">
        <v>1755664000</v>
      </c>
      <c r="F450" s="168">
        <v>1964734353.3399999</v>
      </c>
      <c r="G450" s="168">
        <v>1964734353.3399999</v>
      </c>
      <c r="H450" s="168">
        <v>0</v>
      </c>
      <c r="I450" s="168">
        <v>148381980.66</v>
      </c>
      <c r="J450" s="168">
        <v>0</v>
      </c>
      <c r="K450" s="168">
        <v>1689672485.28</v>
      </c>
      <c r="L450" s="168">
        <v>1687573658.8099999</v>
      </c>
      <c r="M450" s="168">
        <v>126679887.40000001</v>
      </c>
      <c r="N450" s="168">
        <v>126679887.40000001</v>
      </c>
    </row>
    <row r="451" spans="1:14" x14ac:dyDescent="0.25">
      <c r="A451" s="167" t="s">
        <v>559</v>
      </c>
      <c r="B451" s="167" t="s">
        <v>258</v>
      </c>
      <c r="C451" s="167" t="s">
        <v>259</v>
      </c>
      <c r="D451" s="167" t="s">
        <v>554</v>
      </c>
      <c r="E451" s="168">
        <v>591806000</v>
      </c>
      <c r="F451" s="168">
        <v>589568881</v>
      </c>
      <c r="G451" s="168">
        <v>589568881</v>
      </c>
      <c r="H451" s="168">
        <v>0</v>
      </c>
      <c r="I451" s="168">
        <v>0</v>
      </c>
      <c r="J451" s="168">
        <v>0</v>
      </c>
      <c r="K451" s="168">
        <v>474699170.10000002</v>
      </c>
      <c r="L451" s="168">
        <v>474699170.10000002</v>
      </c>
      <c r="M451" s="168">
        <v>114869710.90000001</v>
      </c>
      <c r="N451" s="168">
        <v>114869710.90000001</v>
      </c>
    </row>
    <row r="452" spans="1:14" x14ac:dyDescent="0.25">
      <c r="A452" s="167" t="s">
        <v>559</v>
      </c>
      <c r="B452" s="167" t="s">
        <v>381</v>
      </c>
      <c r="C452" s="167" t="s">
        <v>382</v>
      </c>
      <c r="D452" s="167" t="s">
        <v>554</v>
      </c>
      <c r="E452" s="168">
        <v>179500000</v>
      </c>
      <c r="F452" s="168">
        <v>179500000</v>
      </c>
      <c r="G452" s="168">
        <v>179500000</v>
      </c>
      <c r="H452" s="168">
        <v>0</v>
      </c>
      <c r="I452" s="168">
        <v>0</v>
      </c>
      <c r="J452" s="168">
        <v>0</v>
      </c>
      <c r="K452" s="168">
        <v>84236615</v>
      </c>
      <c r="L452" s="168">
        <v>84236615</v>
      </c>
      <c r="M452" s="168">
        <v>95263385</v>
      </c>
      <c r="N452" s="168">
        <v>95263385</v>
      </c>
    </row>
    <row r="453" spans="1:14" x14ac:dyDescent="0.25">
      <c r="A453" s="167" t="s">
        <v>559</v>
      </c>
      <c r="B453" s="167" t="s">
        <v>383</v>
      </c>
      <c r="C453" s="167" t="s">
        <v>265</v>
      </c>
      <c r="D453" s="167" t="s">
        <v>554</v>
      </c>
      <c r="E453" s="168">
        <v>288117000</v>
      </c>
      <c r="F453" s="168">
        <v>286553411</v>
      </c>
      <c r="G453" s="168">
        <v>286553411</v>
      </c>
      <c r="H453" s="168">
        <v>0</v>
      </c>
      <c r="I453" s="168">
        <v>0</v>
      </c>
      <c r="J453" s="168">
        <v>0</v>
      </c>
      <c r="K453" s="168">
        <v>272853355.30000001</v>
      </c>
      <c r="L453" s="168">
        <v>272853355.30000001</v>
      </c>
      <c r="M453" s="168">
        <v>13700055.699999999</v>
      </c>
      <c r="N453" s="168">
        <v>13700055.699999999</v>
      </c>
    </row>
    <row r="454" spans="1:14" x14ac:dyDescent="0.25">
      <c r="A454" s="167" t="s">
        <v>559</v>
      </c>
      <c r="B454" s="167" t="s">
        <v>384</v>
      </c>
      <c r="C454" s="167" t="s">
        <v>267</v>
      </c>
      <c r="D454" s="167" t="s">
        <v>554</v>
      </c>
      <c r="E454" s="168">
        <v>124189000</v>
      </c>
      <c r="F454" s="168">
        <v>123515470</v>
      </c>
      <c r="G454" s="168">
        <v>123515470</v>
      </c>
      <c r="H454" s="168">
        <v>0</v>
      </c>
      <c r="I454" s="168">
        <v>0</v>
      </c>
      <c r="J454" s="168">
        <v>0</v>
      </c>
      <c r="K454" s="168">
        <v>117609199.8</v>
      </c>
      <c r="L454" s="168">
        <v>117609199.8</v>
      </c>
      <c r="M454" s="168">
        <v>5906270.2000000002</v>
      </c>
      <c r="N454" s="168">
        <v>5906270.2000000002</v>
      </c>
    </row>
    <row r="455" spans="1:14" x14ac:dyDescent="0.25">
      <c r="A455" s="167" t="s">
        <v>559</v>
      </c>
      <c r="B455" s="167" t="s">
        <v>385</v>
      </c>
      <c r="C455" s="167" t="s">
        <v>386</v>
      </c>
      <c r="D455" s="167" t="s">
        <v>554</v>
      </c>
      <c r="E455" s="168">
        <v>450000000</v>
      </c>
      <c r="F455" s="168">
        <v>450000000</v>
      </c>
      <c r="G455" s="168">
        <v>450000000</v>
      </c>
      <c r="H455" s="168">
        <v>0</v>
      </c>
      <c r="I455" s="168">
        <v>0</v>
      </c>
      <c r="J455" s="168">
        <v>0</v>
      </c>
      <c r="K455" s="168">
        <v>450000000</v>
      </c>
      <c r="L455" s="168">
        <v>450000000</v>
      </c>
      <c r="M455" s="168">
        <v>0</v>
      </c>
      <c r="N455" s="168">
        <v>0</v>
      </c>
    </row>
    <row r="456" spans="1:14" x14ac:dyDescent="0.25">
      <c r="A456" s="167" t="s">
        <v>559</v>
      </c>
      <c r="B456" s="167" t="s">
        <v>387</v>
      </c>
      <c r="C456" s="167" t="s">
        <v>388</v>
      </c>
      <c r="D456" s="167" t="s">
        <v>554</v>
      </c>
      <c r="E456" s="168">
        <v>450000000</v>
      </c>
      <c r="F456" s="168">
        <v>450000000</v>
      </c>
      <c r="G456" s="168">
        <v>450000000</v>
      </c>
      <c r="H456" s="168">
        <v>0</v>
      </c>
      <c r="I456" s="168">
        <v>0</v>
      </c>
      <c r="J456" s="168">
        <v>0</v>
      </c>
      <c r="K456" s="168">
        <v>450000000</v>
      </c>
      <c r="L456" s="168">
        <v>450000000</v>
      </c>
      <c r="M456" s="168">
        <v>0</v>
      </c>
      <c r="N456" s="168">
        <v>0</v>
      </c>
    </row>
    <row r="457" spans="1:14" x14ac:dyDescent="0.25">
      <c r="A457" s="167" t="s">
        <v>559</v>
      </c>
      <c r="B457" s="167" t="s">
        <v>268</v>
      </c>
      <c r="C457" s="167" t="s">
        <v>269</v>
      </c>
      <c r="D457" s="167" t="s">
        <v>554</v>
      </c>
      <c r="E457" s="168">
        <v>593858000</v>
      </c>
      <c r="F457" s="168">
        <v>759571992</v>
      </c>
      <c r="G457" s="168">
        <v>759571992</v>
      </c>
      <c r="H457" s="168">
        <v>0</v>
      </c>
      <c r="I457" s="168">
        <v>831559.49</v>
      </c>
      <c r="J457" s="168">
        <v>0</v>
      </c>
      <c r="K457" s="168">
        <v>746930256.71000004</v>
      </c>
      <c r="L457" s="168">
        <v>746930256.71000004</v>
      </c>
      <c r="M457" s="168">
        <v>11810175.800000001</v>
      </c>
      <c r="N457" s="168">
        <v>11810175.800000001</v>
      </c>
    </row>
    <row r="458" spans="1:14" x14ac:dyDescent="0.25">
      <c r="A458" s="167" t="s">
        <v>559</v>
      </c>
      <c r="B458" s="167" t="s">
        <v>270</v>
      </c>
      <c r="C458" s="167" t="s">
        <v>271</v>
      </c>
      <c r="D458" s="167" t="s">
        <v>554</v>
      </c>
      <c r="E458" s="168">
        <v>293858000</v>
      </c>
      <c r="F458" s="168">
        <v>459571992</v>
      </c>
      <c r="G458" s="168">
        <v>459571992</v>
      </c>
      <c r="H458" s="168">
        <v>0</v>
      </c>
      <c r="I458" s="168">
        <v>831559.49</v>
      </c>
      <c r="J458" s="168">
        <v>0</v>
      </c>
      <c r="K458" s="168">
        <v>458740432.20999998</v>
      </c>
      <c r="L458" s="168">
        <v>458740432.20999998</v>
      </c>
      <c r="M458" s="168">
        <v>0.3</v>
      </c>
      <c r="N458" s="168">
        <v>0.3</v>
      </c>
    </row>
    <row r="459" spans="1:14" x14ac:dyDescent="0.25">
      <c r="A459" s="167" t="s">
        <v>559</v>
      </c>
      <c r="B459" s="167" t="s">
        <v>272</v>
      </c>
      <c r="C459" s="167" t="s">
        <v>273</v>
      </c>
      <c r="D459" s="167" t="s">
        <v>554</v>
      </c>
      <c r="E459" s="168">
        <v>300000000</v>
      </c>
      <c r="F459" s="168">
        <v>300000000</v>
      </c>
      <c r="G459" s="168">
        <v>300000000</v>
      </c>
      <c r="H459" s="168">
        <v>0</v>
      </c>
      <c r="I459" s="168">
        <v>0</v>
      </c>
      <c r="J459" s="168">
        <v>0</v>
      </c>
      <c r="K459" s="168">
        <v>288189824.5</v>
      </c>
      <c r="L459" s="168">
        <v>288189824.5</v>
      </c>
      <c r="M459" s="168">
        <v>11810175.5</v>
      </c>
      <c r="N459" s="168">
        <v>11810175.5</v>
      </c>
    </row>
    <row r="460" spans="1:14" x14ac:dyDescent="0.25">
      <c r="A460" s="167" t="s">
        <v>559</v>
      </c>
      <c r="B460" s="167" t="s">
        <v>274</v>
      </c>
      <c r="C460" s="167" t="s">
        <v>275</v>
      </c>
      <c r="D460" s="167" t="s">
        <v>554</v>
      </c>
      <c r="E460" s="168">
        <v>120000000</v>
      </c>
      <c r="F460" s="168">
        <v>165593480.34</v>
      </c>
      <c r="G460" s="168">
        <v>165593480.34</v>
      </c>
      <c r="H460" s="168">
        <v>0</v>
      </c>
      <c r="I460" s="168">
        <v>147550421.16999999</v>
      </c>
      <c r="J460" s="168">
        <v>0</v>
      </c>
      <c r="K460" s="168">
        <v>18043058.469999999</v>
      </c>
      <c r="L460" s="168">
        <v>15944232</v>
      </c>
      <c r="M460" s="168">
        <v>0.7</v>
      </c>
      <c r="N460" s="168">
        <v>0.7</v>
      </c>
    </row>
    <row r="461" spans="1:14" x14ac:dyDescent="0.25">
      <c r="A461" s="167" t="s">
        <v>559</v>
      </c>
      <c r="B461" s="167" t="s">
        <v>276</v>
      </c>
      <c r="C461" s="167" t="s">
        <v>277</v>
      </c>
      <c r="D461" s="167" t="s">
        <v>554</v>
      </c>
      <c r="E461" s="168">
        <v>100000000</v>
      </c>
      <c r="F461" s="168">
        <v>143345437.58000001</v>
      </c>
      <c r="G461" s="168">
        <v>143345437.58000001</v>
      </c>
      <c r="H461" s="168">
        <v>0</v>
      </c>
      <c r="I461" s="168">
        <v>125708817.70999999</v>
      </c>
      <c r="J461" s="168">
        <v>0</v>
      </c>
      <c r="K461" s="168">
        <v>17636619.870000001</v>
      </c>
      <c r="L461" s="168">
        <v>15537793.4</v>
      </c>
      <c r="M461" s="168">
        <v>0</v>
      </c>
      <c r="N461" s="168">
        <v>0</v>
      </c>
    </row>
    <row r="462" spans="1:14" x14ac:dyDescent="0.25">
      <c r="A462" s="167" t="s">
        <v>559</v>
      </c>
      <c r="B462" s="167" t="s">
        <v>278</v>
      </c>
      <c r="C462" s="167" t="s">
        <v>279</v>
      </c>
      <c r="D462" s="167" t="s">
        <v>554</v>
      </c>
      <c r="E462" s="168">
        <v>20000000</v>
      </c>
      <c r="F462" s="168">
        <v>22248042.760000002</v>
      </c>
      <c r="G462" s="168">
        <v>22248042.760000002</v>
      </c>
      <c r="H462" s="168">
        <v>0</v>
      </c>
      <c r="I462" s="168">
        <v>21841603.460000001</v>
      </c>
      <c r="J462" s="168">
        <v>0</v>
      </c>
      <c r="K462" s="168">
        <v>406438.6</v>
      </c>
      <c r="L462" s="168">
        <v>406438.6</v>
      </c>
      <c r="M462" s="168">
        <v>0.7</v>
      </c>
      <c r="N462" s="168">
        <v>0.7</v>
      </c>
    </row>
    <row r="463" spans="1:14" x14ac:dyDescent="0.25">
      <c r="A463" s="167" t="s">
        <v>559</v>
      </c>
      <c r="B463" s="167" t="s">
        <v>389</v>
      </c>
      <c r="C463" s="167" t="s">
        <v>390</v>
      </c>
      <c r="D463" s="167" t="s">
        <v>554</v>
      </c>
      <c r="E463" s="168">
        <v>9142986000</v>
      </c>
      <c r="F463" s="168">
        <v>10079203438</v>
      </c>
      <c r="G463" s="168">
        <v>10079203437.799999</v>
      </c>
      <c r="H463" s="168">
        <v>0</v>
      </c>
      <c r="I463" s="168">
        <v>0</v>
      </c>
      <c r="J463" s="168">
        <v>0</v>
      </c>
      <c r="K463" s="168">
        <v>4142986000</v>
      </c>
      <c r="L463" s="168">
        <v>4142986000</v>
      </c>
      <c r="M463" s="168">
        <v>5936217438</v>
      </c>
      <c r="N463" s="168">
        <v>5936217437.8000002</v>
      </c>
    </row>
    <row r="464" spans="1:14" x14ac:dyDescent="0.25">
      <c r="A464" s="167" t="s">
        <v>559</v>
      </c>
      <c r="B464" s="167" t="s">
        <v>391</v>
      </c>
      <c r="C464" s="167" t="s">
        <v>392</v>
      </c>
      <c r="D464" s="167" t="s">
        <v>554</v>
      </c>
      <c r="E464" s="168">
        <v>9142986000</v>
      </c>
      <c r="F464" s="168">
        <v>10079203438</v>
      </c>
      <c r="G464" s="168">
        <v>10079203437.799999</v>
      </c>
      <c r="H464" s="168">
        <v>0</v>
      </c>
      <c r="I464" s="168">
        <v>0</v>
      </c>
      <c r="J464" s="168">
        <v>0</v>
      </c>
      <c r="K464" s="168">
        <v>4142986000</v>
      </c>
      <c r="L464" s="168">
        <v>4142986000</v>
      </c>
      <c r="M464" s="168">
        <v>5936217438</v>
      </c>
      <c r="N464" s="168">
        <v>5936217437.8000002</v>
      </c>
    </row>
    <row r="465" spans="1:14" x14ac:dyDescent="0.25">
      <c r="A465" s="167" t="s">
        <v>559</v>
      </c>
      <c r="B465" s="167" t="s">
        <v>393</v>
      </c>
      <c r="C465" s="167" t="s">
        <v>394</v>
      </c>
      <c r="D465" s="167" t="s">
        <v>554</v>
      </c>
      <c r="E465" s="168">
        <v>0</v>
      </c>
      <c r="F465" s="168">
        <v>320775000</v>
      </c>
      <c r="G465" s="168">
        <v>320775000</v>
      </c>
      <c r="H465" s="168">
        <v>0</v>
      </c>
      <c r="I465" s="168">
        <v>0</v>
      </c>
      <c r="J465" s="168">
        <v>0</v>
      </c>
      <c r="K465" s="168">
        <v>320775000</v>
      </c>
      <c r="L465" s="168">
        <v>320775000</v>
      </c>
      <c r="M465" s="168">
        <v>0</v>
      </c>
      <c r="N465" s="168">
        <v>0</v>
      </c>
    </row>
    <row r="466" spans="1:14" x14ac:dyDescent="0.25">
      <c r="A466" s="167" t="s">
        <v>559</v>
      </c>
      <c r="B466" s="167" t="s">
        <v>393</v>
      </c>
      <c r="C466" s="167" t="s">
        <v>394</v>
      </c>
      <c r="D466" s="167" t="s">
        <v>556</v>
      </c>
      <c r="E466" s="168">
        <v>9142986000</v>
      </c>
      <c r="F466" s="168">
        <v>9758428438</v>
      </c>
      <c r="G466" s="168">
        <v>9758428437.7999992</v>
      </c>
      <c r="H466" s="168">
        <v>0</v>
      </c>
      <c r="I466" s="168">
        <v>0</v>
      </c>
      <c r="J466" s="168">
        <v>0</v>
      </c>
      <c r="K466" s="168">
        <v>3822211000</v>
      </c>
      <c r="L466" s="168">
        <v>3822211000</v>
      </c>
      <c r="M466" s="168">
        <v>5936217438</v>
      </c>
      <c r="N466" s="168">
        <v>5936217437.8000002</v>
      </c>
    </row>
    <row r="467" spans="1:14" x14ac:dyDescent="0.25">
      <c r="A467" s="167" t="s">
        <v>559</v>
      </c>
      <c r="B467" s="167" t="s">
        <v>602</v>
      </c>
      <c r="C467" s="167" t="s">
        <v>603</v>
      </c>
      <c r="D467" s="167" t="s">
        <v>554</v>
      </c>
      <c r="E467" s="168">
        <v>0</v>
      </c>
      <c r="F467" s="168">
        <v>820176912</v>
      </c>
      <c r="G467" s="168">
        <v>677392912</v>
      </c>
      <c r="H467" s="168">
        <v>0</v>
      </c>
      <c r="I467" s="168">
        <v>0</v>
      </c>
      <c r="J467" s="168">
        <v>0</v>
      </c>
      <c r="K467" s="168">
        <v>0</v>
      </c>
      <c r="L467" s="168">
        <v>0</v>
      </c>
      <c r="M467" s="168">
        <v>820176912</v>
      </c>
      <c r="N467" s="168">
        <v>677392912</v>
      </c>
    </row>
    <row r="468" spans="1:14" x14ac:dyDescent="0.25">
      <c r="A468" s="167" t="s">
        <v>559</v>
      </c>
      <c r="B468" s="167" t="s">
        <v>600</v>
      </c>
      <c r="C468" s="167" t="s">
        <v>601</v>
      </c>
      <c r="D468" s="167" t="s">
        <v>554</v>
      </c>
      <c r="E468" s="168">
        <v>0</v>
      </c>
      <c r="F468" s="168">
        <v>820176912</v>
      </c>
      <c r="G468" s="168">
        <v>677392912</v>
      </c>
      <c r="H468" s="168">
        <v>0</v>
      </c>
      <c r="I468" s="168">
        <v>0</v>
      </c>
      <c r="J468" s="168">
        <v>0</v>
      </c>
      <c r="K468" s="168">
        <v>0</v>
      </c>
      <c r="L468" s="168">
        <v>0</v>
      </c>
      <c r="M468" s="168">
        <v>820176912</v>
      </c>
      <c r="N468" s="168">
        <v>677392912</v>
      </c>
    </row>
    <row r="469" spans="1:14" x14ac:dyDescent="0.25">
      <c r="A469" s="167" t="s">
        <v>559</v>
      </c>
      <c r="B469" s="167" t="s">
        <v>598</v>
      </c>
      <c r="C469" s="167" t="s">
        <v>599</v>
      </c>
      <c r="D469" s="167" t="s">
        <v>554</v>
      </c>
      <c r="E469" s="168">
        <v>0</v>
      </c>
      <c r="F469" s="168">
        <v>324116252</v>
      </c>
      <c r="G469" s="168">
        <v>191549252</v>
      </c>
      <c r="H469" s="168">
        <v>0</v>
      </c>
      <c r="I469" s="168">
        <v>0</v>
      </c>
      <c r="J469" s="168">
        <v>0</v>
      </c>
      <c r="K469" s="168">
        <v>0</v>
      </c>
      <c r="L469" s="168">
        <v>0</v>
      </c>
      <c r="M469" s="168">
        <v>324116252</v>
      </c>
      <c r="N469" s="168">
        <v>191549252</v>
      </c>
    </row>
    <row r="470" spans="1:14" x14ac:dyDescent="0.25">
      <c r="A470" s="167" t="s">
        <v>559</v>
      </c>
      <c r="B470" s="167" t="s">
        <v>598</v>
      </c>
      <c r="C470" s="167" t="s">
        <v>599</v>
      </c>
      <c r="D470" s="167" t="s">
        <v>556</v>
      </c>
      <c r="E470" s="168">
        <v>0</v>
      </c>
      <c r="F470" s="168">
        <v>496060660</v>
      </c>
      <c r="G470" s="168">
        <v>485843660</v>
      </c>
      <c r="H470" s="168">
        <v>0</v>
      </c>
      <c r="I470" s="168">
        <v>0</v>
      </c>
      <c r="J470" s="168">
        <v>0</v>
      </c>
      <c r="K470" s="168">
        <v>0</v>
      </c>
      <c r="L470" s="168">
        <v>0</v>
      </c>
      <c r="M470" s="168">
        <v>496060660</v>
      </c>
      <c r="N470" s="168">
        <v>485843660</v>
      </c>
    </row>
    <row r="471" spans="1:14" x14ac:dyDescent="0.25">
      <c r="A471" s="169" t="s">
        <v>559</v>
      </c>
      <c r="B471" s="169"/>
      <c r="C471" s="169"/>
      <c r="D471" s="169"/>
      <c r="E471" s="170"/>
      <c r="F471" s="170">
        <v>432714718460</v>
      </c>
      <c r="G471" s="170">
        <v>432143582459.20001</v>
      </c>
      <c r="H471" s="170">
        <v>549152241.12</v>
      </c>
      <c r="I471" s="170">
        <v>20194593911.759998</v>
      </c>
      <c r="J471" s="170">
        <v>0</v>
      </c>
      <c r="K471" s="170">
        <v>355355452730.08002</v>
      </c>
      <c r="L471" s="170">
        <v>342083182021.71997</v>
      </c>
      <c r="M471" s="170">
        <v>56615519577.040001</v>
      </c>
      <c r="N471" s="170">
        <v>56044383576.239998</v>
      </c>
    </row>
    <row r="472" spans="1:14" x14ac:dyDescent="0.25">
      <c r="A472" s="167">
        <v>214784</v>
      </c>
      <c r="B472" s="167"/>
      <c r="C472" s="167"/>
      <c r="D472" s="167" t="s">
        <v>554</v>
      </c>
      <c r="E472" s="168">
        <v>13480088000</v>
      </c>
      <c r="F472" s="168">
        <v>13480088000</v>
      </c>
      <c r="G472" s="168">
        <v>13445833840</v>
      </c>
      <c r="H472" s="168">
        <v>0</v>
      </c>
      <c r="I472" s="168">
        <v>12968369.449999999</v>
      </c>
      <c r="J472" s="168">
        <v>0</v>
      </c>
      <c r="K472" s="168">
        <v>12476438803.379999</v>
      </c>
      <c r="L472" s="168">
        <v>12476438803.379999</v>
      </c>
      <c r="M472" s="168">
        <v>990680827.16999996</v>
      </c>
      <c r="N472" s="168">
        <v>956426667.16999996</v>
      </c>
    </row>
    <row r="473" spans="1:14" x14ac:dyDescent="0.25">
      <c r="A473" s="167" t="s">
        <v>560</v>
      </c>
      <c r="B473" s="167" t="s">
        <v>92</v>
      </c>
      <c r="C473" s="167" t="s">
        <v>93</v>
      </c>
      <c r="D473" s="167" t="s">
        <v>554</v>
      </c>
      <c r="E473" s="168">
        <v>13027348000</v>
      </c>
      <c r="F473" s="168">
        <v>12798351526</v>
      </c>
      <c r="G473" s="168">
        <v>12798351526</v>
      </c>
      <c r="H473" s="168">
        <v>0</v>
      </c>
      <c r="I473" s="168">
        <v>1970723.45</v>
      </c>
      <c r="J473" s="168">
        <v>0</v>
      </c>
      <c r="K473" s="168">
        <v>11954551177.59</v>
      </c>
      <c r="L473" s="168">
        <v>11954551177.59</v>
      </c>
      <c r="M473" s="168">
        <v>841829624.96000004</v>
      </c>
      <c r="N473" s="168">
        <v>841829624.96000004</v>
      </c>
    </row>
    <row r="474" spans="1:14" x14ac:dyDescent="0.25">
      <c r="A474" s="167" t="s">
        <v>560</v>
      </c>
      <c r="B474" s="167" t="s">
        <v>94</v>
      </c>
      <c r="C474" s="167" t="s">
        <v>95</v>
      </c>
      <c r="D474" s="167" t="s">
        <v>554</v>
      </c>
      <c r="E474" s="168">
        <v>4305384000</v>
      </c>
      <c r="F474" s="168">
        <v>4257338575</v>
      </c>
      <c r="G474" s="168">
        <v>4257338575</v>
      </c>
      <c r="H474" s="168">
        <v>0</v>
      </c>
      <c r="I474" s="168">
        <v>960284.38</v>
      </c>
      <c r="J474" s="168">
        <v>0</v>
      </c>
      <c r="K474" s="168">
        <v>3933264841.6700001</v>
      </c>
      <c r="L474" s="168">
        <v>3933264841.6700001</v>
      </c>
      <c r="M474" s="168">
        <v>323113448.94999999</v>
      </c>
      <c r="N474" s="168">
        <v>323113448.94999999</v>
      </c>
    </row>
    <row r="475" spans="1:14" x14ac:dyDescent="0.25">
      <c r="A475" s="167" t="s">
        <v>560</v>
      </c>
      <c r="B475" s="167" t="s">
        <v>96</v>
      </c>
      <c r="C475" s="167" t="s">
        <v>97</v>
      </c>
      <c r="D475" s="167" t="s">
        <v>554</v>
      </c>
      <c r="E475" s="168">
        <v>4305384000</v>
      </c>
      <c r="F475" s="168">
        <v>4257338575</v>
      </c>
      <c r="G475" s="168">
        <v>4257338575</v>
      </c>
      <c r="H475" s="168">
        <v>0</v>
      </c>
      <c r="I475" s="168">
        <v>960284.38</v>
      </c>
      <c r="J475" s="168">
        <v>0</v>
      </c>
      <c r="K475" s="168">
        <v>3933264841.6700001</v>
      </c>
      <c r="L475" s="168">
        <v>3933264841.6700001</v>
      </c>
      <c r="M475" s="168">
        <v>323113448.94999999</v>
      </c>
      <c r="N475" s="168">
        <v>323113448.94999999</v>
      </c>
    </row>
    <row r="476" spans="1:14" x14ac:dyDescent="0.25">
      <c r="A476" s="167" t="s">
        <v>560</v>
      </c>
      <c r="B476" s="167" t="s">
        <v>102</v>
      </c>
      <c r="C476" s="167" t="s">
        <v>103</v>
      </c>
      <c r="D476" s="167" t="s">
        <v>554</v>
      </c>
      <c r="E476" s="168">
        <v>6654359000</v>
      </c>
      <c r="F476" s="168">
        <v>6543489686</v>
      </c>
      <c r="G476" s="168">
        <v>6543489686</v>
      </c>
      <c r="H476" s="168">
        <v>0</v>
      </c>
      <c r="I476" s="168">
        <v>1010439.07</v>
      </c>
      <c r="J476" s="168">
        <v>0</v>
      </c>
      <c r="K476" s="168">
        <v>6218344549.54</v>
      </c>
      <c r="L476" s="168">
        <v>6218344549.54</v>
      </c>
      <c r="M476" s="168">
        <v>324134697.38999999</v>
      </c>
      <c r="N476" s="168">
        <v>324134697.38999999</v>
      </c>
    </row>
    <row r="477" spans="1:14" x14ac:dyDescent="0.25">
      <c r="A477" s="167" t="s">
        <v>560</v>
      </c>
      <c r="B477" s="167" t="s">
        <v>104</v>
      </c>
      <c r="C477" s="167" t="s">
        <v>105</v>
      </c>
      <c r="D477" s="167" t="s">
        <v>554</v>
      </c>
      <c r="E477" s="168">
        <v>1555363000</v>
      </c>
      <c r="F477" s="168">
        <v>1504277000</v>
      </c>
      <c r="G477" s="168">
        <v>1504277000</v>
      </c>
      <c r="H477" s="168">
        <v>0</v>
      </c>
      <c r="I477" s="168">
        <v>369693.64</v>
      </c>
      <c r="J477" s="168">
        <v>0</v>
      </c>
      <c r="K477" s="168">
        <v>1364455458.4300001</v>
      </c>
      <c r="L477" s="168">
        <v>1364455458.4300001</v>
      </c>
      <c r="M477" s="168">
        <v>139451847.93000001</v>
      </c>
      <c r="N477" s="168">
        <v>139451847.93000001</v>
      </c>
    </row>
    <row r="478" spans="1:14" x14ac:dyDescent="0.25">
      <c r="A478" s="167" t="s">
        <v>560</v>
      </c>
      <c r="B478" s="167" t="s">
        <v>106</v>
      </c>
      <c r="C478" s="167" t="s">
        <v>107</v>
      </c>
      <c r="D478" s="167" t="s">
        <v>554</v>
      </c>
      <c r="E478" s="168">
        <v>2341028000</v>
      </c>
      <c r="F478" s="168">
        <v>2310902167</v>
      </c>
      <c r="G478" s="168">
        <v>2310902167</v>
      </c>
      <c r="H478" s="168">
        <v>0</v>
      </c>
      <c r="I478" s="168">
        <v>274282.77</v>
      </c>
      <c r="J478" s="168">
        <v>0</v>
      </c>
      <c r="K478" s="168">
        <v>2268516849.9099998</v>
      </c>
      <c r="L478" s="168">
        <v>2268516849.9099998</v>
      </c>
      <c r="M478" s="168">
        <v>42111034.32</v>
      </c>
      <c r="N478" s="168">
        <v>42111034.32</v>
      </c>
    </row>
    <row r="479" spans="1:14" x14ac:dyDescent="0.25">
      <c r="A479" s="167" t="s">
        <v>560</v>
      </c>
      <c r="B479" s="167" t="s">
        <v>112</v>
      </c>
      <c r="C479" s="167" t="s">
        <v>113</v>
      </c>
      <c r="D479" s="167" t="s">
        <v>556</v>
      </c>
      <c r="E479" s="168">
        <v>834328000</v>
      </c>
      <c r="F479" s="168">
        <v>831035156</v>
      </c>
      <c r="G479" s="168">
        <v>831035156</v>
      </c>
      <c r="H479" s="168">
        <v>0</v>
      </c>
      <c r="I479" s="168">
        <v>0</v>
      </c>
      <c r="J479" s="168">
        <v>0</v>
      </c>
      <c r="K479" s="168">
        <v>787350258.63999999</v>
      </c>
      <c r="L479" s="168">
        <v>787350258.63999999</v>
      </c>
      <c r="M479" s="168">
        <v>43684897.359999999</v>
      </c>
      <c r="N479" s="168">
        <v>43684897.359999999</v>
      </c>
    </row>
    <row r="480" spans="1:14" x14ac:dyDescent="0.25">
      <c r="A480" s="167" t="s">
        <v>560</v>
      </c>
      <c r="B480" s="167" t="s">
        <v>108</v>
      </c>
      <c r="C480" s="167" t="s">
        <v>109</v>
      </c>
      <c r="D480" s="167" t="s">
        <v>554</v>
      </c>
      <c r="E480" s="168">
        <v>727699000</v>
      </c>
      <c r="F480" s="168">
        <v>707699000</v>
      </c>
      <c r="G480" s="168">
        <v>707699000</v>
      </c>
      <c r="H480" s="168">
        <v>0</v>
      </c>
      <c r="I480" s="168">
        <v>137893.68</v>
      </c>
      <c r="J480" s="168">
        <v>0</v>
      </c>
      <c r="K480" s="168">
        <v>702442583.13</v>
      </c>
      <c r="L480" s="168">
        <v>702442583.13</v>
      </c>
      <c r="M480" s="168">
        <v>5118523.1900000004</v>
      </c>
      <c r="N480" s="168">
        <v>5118523.1900000004</v>
      </c>
    </row>
    <row r="481" spans="1:14" x14ac:dyDescent="0.25">
      <c r="A481" s="167" t="s">
        <v>560</v>
      </c>
      <c r="B481" s="167" t="s">
        <v>110</v>
      </c>
      <c r="C481" s="167" t="s">
        <v>111</v>
      </c>
      <c r="D481" s="167" t="s">
        <v>554</v>
      </c>
      <c r="E481" s="168">
        <v>1195941000</v>
      </c>
      <c r="F481" s="168">
        <v>1189576363</v>
      </c>
      <c r="G481" s="168">
        <v>1189576363</v>
      </c>
      <c r="H481" s="168">
        <v>0</v>
      </c>
      <c r="I481" s="168">
        <v>228568.98</v>
      </c>
      <c r="J481" s="168">
        <v>0</v>
      </c>
      <c r="K481" s="168">
        <v>1095579399.4300001</v>
      </c>
      <c r="L481" s="168">
        <v>1095579399.4300001</v>
      </c>
      <c r="M481" s="168">
        <v>93768394.590000004</v>
      </c>
      <c r="N481" s="168">
        <v>93768394.590000004</v>
      </c>
    </row>
    <row r="482" spans="1:14" x14ac:dyDescent="0.25">
      <c r="A482" s="167" t="s">
        <v>560</v>
      </c>
      <c r="B482" s="167" t="s">
        <v>114</v>
      </c>
      <c r="C482" s="167" t="s">
        <v>115</v>
      </c>
      <c r="D482" s="167" t="s">
        <v>554</v>
      </c>
      <c r="E482" s="168">
        <v>987229000</v>
      </c>
      <c r="F482" s="168">
        <v>972055857</v>
      </c>
      <c r="G482" s="168">
        <v>972055857</v>
      </c>
      <c r="H482" s="168">
        <v>0</v>
      </c>
      <c r="I482" s="168">
        <v>0</v>
      </c>
      <c r="J482" s="168">
        <v>0</v>
      </c>
      <c r="K482" s="168">
        <v>911212877.11000001</v>
      </c>
      <c r="L482" s="168">
        <v>911212877.11000001</v>
      </c>
      <c r="M482" s="168">
        <v>60842979.890000001</v>
      </c>
      <c r="N482" s="168">
        <v>60842979.890000001</v>
      </c>
    </row>
    <row r="483" spans="1:14" x14ac:dyDescent="0.25">
      <c r="A483" s="167" t="s">
        <v>560</v>
      </c>
      <c r="B483" s="167" t="s">
        <v>395</v>
      </c>
      <c r="C483" s="167" t="s">
        <v>579</v>
      </c>
      <c r="D483" s="167" t="s">
        <v>554</v>
      </c>
      <c r="E483" s="168">
        <v>936601000</v>
      </c>
      <c r="F483" s="168">
        <v>922205972</v>
      </c>
      <c r="G483" s="168">
        <v>922205972</v>
      </c>
      <c r="H483" s="168">
        <v>0</v>
      </c>
      <c r="I483" s="168">
        <v>0</v>
      </c>
      <c r="J483" s="168">
        <v>0</v>
      </c>
      <c r="K483" s="168">
        <v>864485090.02999997</v>
      </c>
      <c r="L483" s="168">
        <v>864485090.02999997</v>
      </c>
      <c r="M483" s="168">
        <v>57720881.969999999</v>
      </c>
      <c r="N483" s="168">
        <v>57720881.969999999</v>
      </c>
    </row>
    <row r="484" spans="1:14" x14ac:dyDescent="0.25">
      <c r="A484" s="167" t="s">
        <v>560</v>
      </c>
      <c r="B484" s="167" t="s">
        <v>396</v>
      </c>
      <c r="C484" s="167" t="s">
        <v>580</v>
      </c>
      <c r="D484" s="167" t="s">
        <v>554</v>
      </c>
      <c r="E484" s="168">
        <v>50628000</v>
      </c>
      <c r="F484" s="168">
        <v>49849885</v>
      </c>
      <c r="G484" s="168">
        <v>49849885</v>
      </c>
      <c r="H484" s="168">
        <v>0</v>
      </c>
      <c r="I484" s="168">
        <v>0</v>
      </c>
      <c r="J484" s="168">
        <v>0</v>
      </c>
      <c r="K484" s="168">
        <v>46727787.079999998</v>
      </c>
      <c r="L484" s="168">
        <v>46727787.079999998</v>
      </c>
      <c r="M484" s="168">
        <v>3122097.92</v>
      </c>
      <c r="N484" s="168">
        <v>3122097.92</v>
      </c>
    </row>
    <row r="485" spans="1:14" x14ac:dyDescent="0.25">
      <c r="A485" s="167" t="s">
        <v>560</v>
      </c>
      <c r="B485" s="167" t="s">
        <v>118</v>
      </c>
      <c r="C485" s="167" t="s">
        <v>119</v>
      </c>
      <c r="D485" s="167" t="s">
        <v>554</v>
      </c>
      <c r="E485" s="168">
        <v>1080376000</v>
      </c>
      <c r="F485" s="168">
        <v>1025467408</v>
      </c>
      <c r="G485" s="168">
        <v>1025467408</v>
      </c>
      <c r="H485" s="168">
        <v>0</v>
      </c>
      <c r="I485" s="168">
        <v>0</v>
      </c>
      <c r="J485" s="168">
        <v>0</v>
      </c>
      <c r="K485" s="168">
        <v>891728909.26999998</v>
      </c>
      <c r="L485" s="168">
        <v>891728909.26999998</v>
      </c>
      <c r="M485" s="168">
        <v>133738498.73</v>
      </c>
      <c r="N485" s="168">
        <v>133738498.73</v>
      </c>
    </row>
    <row r="486" spans="1:14" x14ac:dyDescent="0.25">
      <c r="A486" s="167" t="s">
        <v>560</v>
      </c>
      <c r="B486" s="167" t="s">
        <v>397</v>
      </c>
      <c r="C486" s="167" t="s">
        <v>121</v>
      </c>
      <c r="D486" s="167" t="s">
        <v>554</v>
      </c>
      <c r="E486" s="168">
        <v>514372000</v>
      </c>
      <c r="F486" s="168">
        <v>466466403</v>
      </c>
      <c r="G486" s="168">
        <v>466466403</v>
      </c>
      <c r="H486" s="168">
        <v>0</v>
      </c>
      <c r="I486" s="168">
        <v>0</v>
      </c>
      <c r="J486" s="168">
        <v>0</v>
      </c>
      <c r="K486" s="168">
        <v>377330604.29000002</v>
      </c>
      <c r="L486" s="168">
        <v>377330604.29000002</v>
      </c>
      <c r="M486" s="168">
        <v>89135798.709999993</v>
      </c>
      <c r="N486" s="168">
        <v>89135798.709999993</v>
      </c>
    </row>
    <row r="487" spans="1:14" x14ac:dyDescent="0.25">
      <c r="A487" s="167" t="s">
        <v>560</v>
      </c>
      <c r="B487" s="167" t="s">
        <v>398</v>
      </c>
      <c r="C487" s="167" t="s">
        <v>123</v>
      </c>
      <c r="D487" s="167" t="s">
        <v>554</v>
      </c>
      <c r="E487" s="168">
        <v>151882000</v>
      </c>
      <c r="F487" s="168">
        <v>149547665</v>
      </c>
      <c r="G487" s="168">
        <v>149547665</v>
      </c>
      <c r="H487" s="168">
        <v>0</v>
      </c>
      <c r="I487" s="168">
        <v>0</v>
      </c>
      <c r="J487" s="168">
        <v>0</v>
      </c>
      <c r="K487" s="168">
        <v>140183192.25</v>
      </c>
      <c r="L487" s="168">
        <v>140183192.25</v>
      </c>
      <c r="M487" s="168">
        <v>9364472.75</v>
      </c>
      <c r="N487" s="168">
        <v>9364472.75</v>
      </c>
    </row>
    <row r="488" spans="1:14" x14ac:dyDescent="0.25">
      <c r="A488" s="167" t="s">
        <v>560</v>
      </c>
      <c r="B488" s="167" t="s">
        <v>399</v>
      </c>
      <c r="C488" s="167" t="s">
        <v>125</v>
      </c>
      <c r="D488" s="167" t="s">
        <v>554</v>
      </c>
      <c r="E488" s="168">
        <v>303763000</v>
      </c>
      <c r="F488" s="168">
        <v>299094340</v>
      </c>
      <c r="G488" s="168">
        <v>299094340</v>
      </c>
      <c r="H488" s="168">
        <v>0</v>
      </c>
      <c r="I488" s="168">
        <v>0</v>
      </c>
      <c r="J488" s="168">
        <v>0</v>
      </c>
      <c r="K488" s="168">
        <v>280366400.5</v>
      </c>
      <c r="L488" s="168">
        <v>280366400.5</v>
      </c>
      <c r="M488" s="168">
        <v>18727939.5</v>
      </c>
      <c r="N488" s="168">
        <v>18727939.5</v>
      </c>
    </row>
    <row r="489" spans="1:14" x14ac:dyDescent="0.25">
      <c r="A489" s="167" t="s">
        <v>560</v>
      </c>
      <c r="B489" s="167" t="s">
        <v>400</v>
      </c>
      <c r="C489" s="167" t="s">
        <v>401</v>
      </c>
      <c r="D489" s="167" t="s">
        <v>554</v>
      </c>
      <c r="E489" s="168">
        <v>110359000</v>
      </c>
      <c r="F489" s="168">
        <v>110359000</v>
      </c>
      <c r="G489" s="168">
        <v>110359000</v>
      </c>
      <c r="H489" s="168">
        <v>0</v>
      </c>
      <c r="I489" s="168">
        <v>0</v>
      </c>
      <c r="J489" s="168">
        <v>0</v>
      </c>
      <c r="K489" s="168">
        <v>93848712.230000004</v>
      </c>
      <c r="L489" s="168">
        <v>93848712.230000004</v>
      </c>
      <c r="M489" s="168">
        <v>16510287.77</v>
      </c>
      <c r="N489" s="168">
        <v>16510287.77</v>
      </c>
    </row>
    <row r="490" spans="1:14" x14ac:dyDescent="0.25">
      <c r="A490" s="167" t="s">
        <v>560</v>
      </c>
      <c r="B490" s="167" t="s">
        <v>126</v>
      </c>
      <c r="C490" s="167" t="s">
        <v>127</v>
      </c>
      <c r="D490" s="167" t="s">
        <v>554</v>
      </c>
      <c r="E490" s="168">
        <v>42000000</v>
      </c>
      <c r="F490" s="168">
        <v>42000000</v>
      </c>
      <c r="G490" s="168">
        <v>42000000</v>
      </c>
      <c r="H490" s="168">
        <v>0</v>
      </c>
      <c r="I490" s="168">
        <v>10997646</v>
      </c>
      <c r="J490" s="168">
        <v>0</v>
      </c>
      <c r="K490" s="168">
        <v>31002354</v>
      </c>
      <c r="L490" s="168">
        <v>31002354</v>
      </c>
      <c r="M490" s="168">
        <v>0</v>
      </c>
      <c r="N490" s="168">
        <v>0</v>
      </c>
    </row>
    <row r="491" spans="1:14" x14ac:dyDescent="0.25">
      <c r="A491" s="167" t="s">
        <v>560</v>
      </c>
      <c r="B491" s="167" t="s">
        <v>172</v>
      </c>
      <c r="C491" s="167" t="s">
        <v>173</v>
      </c>
      <c r="D491" s="167" t="s">
        <v>554</v>
      </c>
      <c r="E491" s="168">
        <v>42000000</v>
      </c>
      <c r="F491" s="168">
        <v>42000000</v>
      </c>
      <c r="G491" s="168">
        <v>42000000</v>
      </c>
      <c r="H491" s="168">
        <v>0</v>
      </c>
      <c r="I491" s="168">
        <v>10997646</v>
      </c>
      <c r="J491" s="168">
        <v>0</v>
      </c>
      <c r="K491" s="168">
        <v>31002354</v>
      </c>
      <c r="L491" s="168">
        <v>31002354</v>
      </c>
      <c r="M491" s="168">
        <v>0</v>
      </c>
      <c r="N491" s="168">
        <v>0</v>
      </c>
    </row>
    <row r="492" spans="1:14" x14ac:dyDescent="0.25">
      <c r="A492" s="167" t="s">
        <v>560</v>
      </c>
      <c r="B492" s="167" t="s">
        <v>174</v>
      </c>
      <c r="C492" s="167" t="s">
        <v>175</v>
      </c>
      <c r="D492" s="167" t="s">
        <v>554</v>
      </c>
      <c r="E492" s="168">
        <v>42000000</v>
      </c>
      <c r="F492" s="168">
        <v>42000000</v>
      </c>
      <c r="G492" s="168">
        <v>42000000</v>
      </c>
      <c r="H492" s="168">
        <v>0</v>
      </c>
      <c r="I492" s="168">
        <v>10997646</v>
      </c>
      <c r="J492" s="168">
        <v>0</v>
      </c>
      <c r="K492" s="168">
        <v>31002354</v>
      </c>
      <c r="L492" s="168">
        <v>31002354</v>
      </c>
      <c r="M492" s="168">
        <v>0</v>
      </c>
      <c r="N492" s="168">
        <v>0</v>
      </c>
    </row>
    <row r="493" spans="1:14" x14ac:dyDescent="0.25">
      <c r="A493" s="167" t="s">
        <v>560</v>
      </c>
      <c r="B493" s="167" t="s">
        <v>256</v>
      </c>
      <c r="C493" s="167" t="s">
        <v>257</v>
      </c>
      <c r="D493" s="167" t="s">
        <v>554</v>
      </c>
      <c r="E493" s="168">
        <v>410740000</v>
      </c>
      <c r="F493" s="168">
        <v>588944365</v>
      </c>
      <c r="G493" s="168">
        <v>588944365</v>
      </c>
      <c r="H493" s="168">
        <v>0</v>
      </c>
      <c r="I493" s="168">
        <v>0</v>
      </c>
      <c r="J493" s="168">
        <v>0</v>
      </c>
      <c r="K493" s="168">
        <v>490885271.79000002</v>
      </c>
      <c r="L493" s="168">
        <v>490885271.79000002</v>
      </c>
      <c r="M493" s="168">
        <v>98059093.209999993</v>
      </c>
      <c r="N493" s="168">
        <v>98059093.209999993</v>
      </c>
    </row>
    <row r="494" spans="1:14" x14ac:dyDescent="0.25">
      <c r="A494" s="167" t="s">
        <v>560</v>
      </c>
      <c r="B494" s="167" t="s">
        <v>258</v>
      </c>
      <c r="C494" s="167" t="s">
        <v>259</v>
      </c>
      <c r="D494" s="167" t="s">
        <v>554</v>
      </c>
      <c r="E494" s="168">
        <v>131042000</v>
      </c>
      <c r="F494" s="168">
        <v>129750340</v>
      </c>
      <c r="G494" s="168">
        <v>129750340</v>
      </c>
      <c r="H494" s="168">
        <v>0</v>
      </c>
      <c r="I494" s="168">
        <v>0</v>
      </c>
      <c r="J494" s="168">
        <v>0</v>
      </c>
      <c r="K494" s="168">
        <v>77532476.140000001</v>
      </c>
      <c r="L494" s="168">
        <v>77532476.140000001</v>
      </c>
      <c r="M494" s="168">
        <v>52217863.859999999</v>
      </c>
      <c r="N494" s="168">
        <v>52217863.859999999</v>
      </c>
    </row>
    <row r="495" spans="1:14" x14ac:dyDescent="0.25">
      <c r="A495" s="167" t="s">
        <v>560</v>
      </c>
      <c r="B495" s="167" t="s">
        <v>413</v>
      </c>
      <c r="C495" s="167" t="s">
        <v>583</v>
      </c>
      <c r="D495" s="167" t="s">
        <v>554</v>
      </c>
      <c r="E495" s="168">
        <v>47000000</v>
      </c>
      <c r="F495" s="168">
        <v>47000000</v>
      </c>
      <c r="G495" s="168">
        <v>47000000</v>
      </c>
      <c r="H495" s="168">
        <v>0</v>
      </c>
      <c r="I495" s="168">
        <v>0</v>
      </c>
      <c r="J495" s="168">
        <v>0</v>
      </c>
      <c r="K495" s="168">
        <v>0</v>
      </c>
      <c r="L495" s="168">
        <v>0</v>
      </c>
      <c r="M495" s="168">
        <v>47000000</v>
      </c>
      <c r="N495" s="168">
        <v>47000000</v>
      </c>
    </row>
    <row r="496" spans="1:14" x14ac:dyDescent="0.25">
      <c r="A496" s="167" t="s">
        <v>560</v>
      </c>
      <c r="B496" s="167" t="s">
        <v>402</v>
      </c>
      <c r="C496" s="167" t="s">
        <v>265</v>
      </c>
      <c r="D496" s="167" t="s">
        <v>554</v>
      </c>
      <c r="E496" s="168">
        <v>58728000</v>
      </c>
      <c r="F496" s="168">
        <v>57825398</v>
      </c>
      <c r="G496" s="168">
        <v>57825398</v>
      </c>
      <c r="H496" s="168">
        <v>0</v>
      </c>
      <c r="I496" s="168">
        <v>0</v>
      </c>
      <c r="J496" s="168">
        <v>0</v>
      </c>
      <c r="K496" s="168">
        <v>54168612.939999998</v>
      </c>
      <c r="L496" s="168">
        <v>54168612.939999998</v>
      </c>
      <c r="M496" s="168">
        <v>3656785.06</v>
      </c>
      <c r="N496" s="168">
        <v>3656785.06</v>
      </c>
    </row>
    <row r="497" spans="1:14" x14ac:dyDescent="0.25">
      <c r="A497" s="167" t="s">
        <v>560</v>
      </c>
      <c r="B497" s="167" t="s">
        <v>403</v>
      </c>
      <c r="C497" s="167" t="s">
        <v>267</v>
      </c>
      <c r="D497" s="167" t="s">
        <v>554</v>
      </c>
      <c r="E497" s="168">
        <v>25314000</v>
      </c>
      <c r="F497" s="168">
        <v>24924942</v>
      </c>
      <c r="G497" s="168">
        <v>24924942</v>
      </c>
      <c r="H497" s="168">
        <v>0</v>
      </c>
      <c r="I497" s="168">
        <v>0</v>
      </c>
      <c r="J497" s="168">
        <v>0</v>
      </c>
      <c r="K497" s="168">
        <v>23363863.199999999</v>
      </c>
      <c r="L497" s="168">
        <v>23363863.199999999</v>
      </c>
      <c r="M497" s="168">
        <v>1561078.8</v>
      </c>
      <c r="N497" s="168">
        <v>1561078.8</v>
      </c>
    </row>
    <row r="498" spans="1:14" x14ac:dyDescent="0.25">
      <c r="A498" s="167" t="s">
        <v>560</v>
      </c>
      <c r="B498" s="167" t="s">
        <v>268</v>
      </c>
      <c r="C498" s="167" t="s">
        <v>269</v>
      </c>
      <c r="D498" s="167" t="s">
        <v>554</v>
      </c>
      <c r="E498" s="168">
        <v>254698000</v>
      </c>
      <c r="F498" s="168">
        <v>416694025</v>
      </c>
      <c r="G498" s="168">
        <v>416694025</v>
      </c>
      <c r="H498" s="168">
        <v>0</v>
      </c>
      <c r="I498" s="168">
        <v>0</v>
      </c>
      <c r="J498" s="168">
        <v>0</v>
      </c>
      <c r="K498" s="168">
        <v>391822333.18000001</v>
      </c>
      <c r="L498" s="168">
        <v>391822333.18000001</v>
      </c>
      <c r="M498" s="168">
        <v>24871691.82</v>
      </c>
      <c r="N498" s="168">
        <v>24871691.82</v>
      </c>
    </row>
    <row r="499" spans="1:14" x14ac:dyDescent="0.25">
      <c r="A499" s="167" t="s">
        <v>560</v>
      </c>
      <c r="B499" s="167" t="s">
        <v>270</v>
      </c>
      <c r="C499" s="167" t="s">
        <v>271</v>
      </c>
      <c r="D499" s="167" t="s">
        <v>554</v>
      </c>
      <c r="E499" s="168">
        <v>179698000</v>
      </c>
      <c r="F499" s="168">
        <v>351694025</v>
      </c>
      <c r="G499" s="168">
        <v>351694025</v>
      </c>
      <c r="H499" s="168">
        <v>0</v>
      </c>
      <c r="I499" s="168">
        <v>0</v>
      </c>
      <c r="J499" s="168">
        <v>0</v>
      </c>
      <c r="K499" s="168">
        <v>347887046.70999998</v>
      </c>
      <c r="L499" s="168">
        <v>347887046.70999998</v>
      </c>
      <c r="M499" s="168">
        <v>3806978.29</v>
      </c>
      <c r="N499" s="168">
        <v>3806978.29</v>
      </c>
    </row>
    <row r="500" spans="1:14" x14ac:dyDescent="0.25">
      <c r="A500" s="167" t="s">
        <v>560</v>
      </c>
      <c r="B500" s="167" t="s">
        <v>272</v>
      </c>
      <c r="C500" s="167" t="s">
        <v>273</v>
      </c>
      <c r="D500" s="167" t="s">
        <v>554</v>
      </c>
      <c r="E500" s="168">
        <v>75000000</v>
      </c>
      <c r="F500" s="168">
        <v>65000000</v>
      </c>
      <c r="G500" s="168">
        <v>65000000</v>
      </c>
      <c r="H500" s="168">
        <v>0</v>
      </c>
      <c r="I500" s="168">
        <v>0</v>
      </c>
      <c r="J500" s="168">
        <v>0</v>
      </c>
      <c r="K500" s="168">
        <v>43935286.469999999</v>
      </c>
      <c r="L500" s="168">
        <v>43935286.469999999</v>
      </c>
      <c r="M500" s="168">
        <v>21064713.530000001</v>
      </c>
      <c r="N500" s="168">
        <v>21064713.530000001</v>
      </c>
    </row>
    <row r="501" spans="1:14" x14ac:dyDescent="0.25">
      <c r="A501" s="167" t="s">
        <v>560</v>
      </c>
      <c r="B501" s="167" t="s">
        <v>274</v>
      </c>
      <c r="C501" s="167" t="s">
        <v>275</v>
      </c>
      <c r="D501" s="167" t="s">
        <v>554</v>
      </c>
      <c r="E501" s="168">
        <v>25000000</v>
      </c>
      <c r="F501" s="168">
        <v>42500000</v>
      </c>
      <c r="G501" s="168">
        <v>42500000</v>
      </c>
      <c r="H501" s="168">
        <v>0</v>
      </c>
      <c r="I501" s="168">
        <v>0</v>
      </c>
      <c r="J501" s="168">
        <v>0</v>
      </c>
      <c r="K501" s="168">
        <v>21530462.469999999</v>
      </c>
      <c r="L501" s="168">
        <v>21530462.469999999</v>
      </c>
      <c r="M501" s="168">
        <v>20969537.530000001</v>
      </c>
      <c r="N501" s="168">
        <v>20969537.530000001</v>
      </c>
    </row>
    <row r="502" spans="1:14" x14ac:dyDescent="0.25">
      <c r="A502" s="167" t="s">
        <v>560</v>
      </c>
      <c r="B502" s="167" t="s">
        <v>276</v>
      </c>
      <c r="C502" s="167" t="s">
        <v>277</v>
      </c>
      <c r="D502" s="167" t="s">
        <v>554</v>
      </c>
      <c r="E502" s="168">
        <v>10000000</v>
      </c>
      <c r="F502" s="168">
        <v>10000000</v>
      </c>
      <c r="G502" s="168">
        <v>10000000</v>
      </c>
      <c r="H502" s="168">
        <v>0</v>
      </c>
      <c r="I502" s="168">
        <v>0</v>
      </c>
      <c r="J502" s="168">
        <v>0</v>
      </c>
      <c r="K502" s="168">
        <v>8963146.0999999996</v>
      </c>
      <c r="L502" s="168">
        <v>8963146.0999999996</v>
      </c>
      <c r="M502" s="168">
        <v>1036853.9</v>
      </c>
      <c r="N502" s="168">
        <v>1036853.9</v>
      </c>
    </row>
    <row r="503" spans="1:14" x14ac:dyDescent="0.25">
      <c r="A503" s="167" t="s">
        <v>560</v>
      </c>
      <c r="B503" s="167" t="s">
        <v>278</v>
      </c>
      <c r="C503" s="167" t="s">
        <v>279</v>
      </c>
      <c r="D503" s="167" t="s">
        <v>554</v>
      </c>
      <c r="E503" s="168">
        <v>15000000</v>
      </c>
      <c r="F503" s="168">
        <v>32500000</v>
      </c>
      <c r="G503" s="168">
        <v>32500000</v>
      </c>
      <c r="H503" s="168">
        <v>0</v>
      </c>
      <c r="I503" s="168">
        <v>0</v>
      </c>
      <c r="J503" s="168">
        <v>0</v>
      </c>
      <c r="K503" s="168">
        <v>12567316.369999999</v>
      </c>
      <c r="L503" s="168">
        <v>12567316.369999999</v>
      </c>
      <c r="M503" s="168">
        <v>19932683.629999999</v>
      </c>
      <c r="N503" s="168">
        <v>19932683.629999999</v>
      </c>
    </row>
    <row r="504" spans="1:14" x14ac:dyDescent="0.25">
      <c r="A504" s="167" t="s">
        <v>560</v>
      </c>
      <c r="B504" s="167" t="s">
        <v>602</v>
      </c>
      <c r="C504" s="167" t="s">
        <v>603</v>
      </c>
      <c r="D504" s="167" t="s">
        <v>554</v>
      </c>
      <c r="E504" s="168">
        <v>0</v>
      </c>
      <c r="F504" s="168">
        <v>50792109</v>
      </c>
      <c r="G504" s="168">
        <v>16537949</v>
      </c>
      <c r="H504" s="168">
        <v>0</v>
      </c>
      <c r="I504" s="168">
        <v>0</v>
      </c>
      <c r="J504" s="168">
        <v>0</v>
      </c>
      <c r="K504" s="168">
        <v>0</v>
      </c>
      <c r="L504" s="168">
        <v>0</v>
      </c>
      <c r="M504" s="168">
        <v>50792109</v>
      </c>
      <c r="N504" s="168">
        <v>16537949</v>
      </c>
    </row>
    <row r="505" spans="1:14" x14ac:dyDescent="0.25">
      <c r="A505" s="167" t="s">
        <v>560</v>
      </c>
      <c r="B505" s="167" t="s">
        <v>600</v>
      </c>
      <c r="C505" s="167" t="s">
        <v>601</v>
      </c>
      <c r="D505" s="167" t="s">
        <v>554</v>
      </c>
      <c r="E505" s="168">
        <v>0</v>
      </c>
      <c r="F505" s="168">
        <v>50792109</v>
      </c>
      <c r="G505" s="168">
        <v>16537949</v>
      </c>
      <c r="H505" s="168">
        <v>0</v>
      </c>
      <c r="I505" s="168">
        <v>0</v>
      </c>
      <c r="J505" s="168">
        <v>0</v>
      </c>
      <c r="K505" s="168">
        <v>0</v>
      </c>
      <c r="L505" s="168">
        <v>0</v>
      </c>
      <c r="M505" s="168">
        <v>50792109</v>
      </c>
      <c r="N505" s="168">
        <v>16537949</v>
      </c>
    </row>
    <row r="506" spans="1:14" x14ac:dyDescent="0.25">
      <c r="A506" s="167" t="s">
        <v>560</v>
      </c>
      <c r="B506" s="167" t="s">
        <v>598</v>
      </c>
      <c r="C506" s="167" t="s">
        <v>599</v>
      </c>
      <c r="D506" s="167" t="s">
        <v>554</v>
      </c>
      <c r="E506" s="168">
        <v>0</v>
      </c>
      <c r="F506" s="168">
        <v>47499265</v>
      </c>
      <c r="G506" s="168">
        <v>15465795</v>
      </c>
      <c r="H506" s="168">
        <v>0</v>
      </c>
      <c r="I506" s="168">
        <v>0</v>
      </c>
      <c r="J506" s="168">
        <v>0</v>
      </c>
      <c r="K506" s="168">
        <v>0</v>
      </c>
      <c r="L506" s="168">
        <v>0</v>
      </c>
      <c r="M506" s="168">
        <v>47499265</v>
      </c>
      <c r="N506" s="168">
        <v>15465795</v>
      </c>
    </row>
    <row r="507" spans="1:14" x14ac:dyDescent="0.25">
      <c r="A507" s="167" t="s">
        <v>560</v>
      </c>
      <c r="B507" s="167" t="s">
        <v>598</v>
      </c>
      <c r="C507" s="167" t="s">
        <v>599</v>
      </c>
      <c r="D507" s="167" t="s">
        <v>556</v>
      </c>
      <c r="E507" s="168">
        <v>0</v>
      </c>
      <c r="F507" s="168">
        <v>3292844</v>
      </c>
      <c r="G507" s="168">
        <v>1072154</v>
      </c>
      <c r="H507" s="168">
        <v>0</v>
      </c>
      <c r="I507" s="168">
        <v>0</v>
      </c>
      <c r="J507" s="168">
        <v>0</v>
      </c>
      <c r="K507" s="168">
        <v>0</v>
      </c>
      <c r="L507" s="168">
        <v>0</v>
      </c>
      <c r="M507" s="168">
        <v>3292844</v>
      </c>
      <c r="N507" s="168">
        <v>1072154</v>
      </c>
    </row>
    <row r="508" spans="1:14" x14ac:dyDescent="0.25">
      <c r="A508" s="169" t="s">
        <v>560</v>
      </c>
      <c r="B508" s="169"/>
      <c r="C508" s="169"/>
      <c r="D508" s="169"/>
      <c r="E508" s="170"/>
      <c r="F508" s="170">
        <v>53920352000</v>
      </c>
      <c r="G508" s="170">
        <v>53783335360</v>
      </c>
      <c r="H508" s="170">
        <v>0</v>
      </c>
      <c r="I508" s="170">
        <v>51873477.799999997</v>
      </c>
      <c r="J508" s="170">
        <v>0</v>
      </c>
      <c r="K508" s="170">
        <v>49905755213.519997</v>
      </c>
      <c r="L508" s="170">
        <v>49905755213.519997</v>
      </c>
      <c r="M508" s="170">
        <v>3962723308.6799998</v>
      </c>
      <c r="N508" s="170">
        <v>3825706668.6799998</v>
      </c>
    </row>
    <row r="509" spans="1:14" x14ac:dyDescent="0.25">
      <c r="A509" s="171"/>
      <c r="B509" s="171"/>
      <c r="C509" s="171"/>
      <c r="D509" s="171"/>
      <c r="E509" s="172"/>
      <c r="F509" s="172">
        <v>679060900755</v>
      </c>
      <c r="G509" s="172">
        <v>677667042929</v>
      </c>
      <c r="H509" s="172">
        <v>728394301.39999998</v>
      </c>
      <c r="I509" s="172">
        <v>26202790180.599998</v>
      </c>
      <c r="J509" s="172">
        <v>0</v>
      </c>
      <c r="K509" s="172">
        <v>568170011224.09998</v>
      </c>
      <c r="L509" s="172">
        <v>550422838328.30005</v>
      </c>
      <c r="M509" s="172">
        <v>83959705048.899994</v>
      </c>
      <c r="N509" s="172">
        <v>82565847222.899994</v>
      </c>
    </row>
  </sheetData>
  <conditionalFormatting sqref="K2:K53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opLeftCell="A151" zoomScale="82" zoomScaleNormal="82" workbookViewId="0">
      <selection activeCell="B4" sqref="B4"/>
    </sheetView>
  </sheetViews>
  <sheetFormatPr baseColWidth="10" defaultRowHeight="15" x14ac:dyDescent="0.25"/>
  <cols>
    <col min="2" max="2" width="20.42578125" customWidth="1"/>
    <col min="3" max="3" width="36.85546875" bestFit="1" customWidth="1"/>
    <col min="4" max="4" width="21" bestFit="1" customWidth="1"/>
    <col min="5" max="5" width="23.140625" bestFit="1" customWidth="1"/>
    <col min="6" max="6" width="17.140625" bestFit="1" customWidth="1"/>
    <col min="7" max="7" width="18.28515625" bestFit="1" customWidth="1"/>
    <col min="8" max="8" width="18.28515625" hidden="1" customWidth="1"/>
    <col min="9" max="9" width="18.28515625" bestFit="1" customWidth="1"/>
    <col min="10" max="10" width="18.28515625" customWidth="1"/>
    <col min="11" max="11" width="28.140625" bestFit="1" customWidth="1"/>
  </cols>
  <sheetData>
    <row r="1" spans="1:13" ht="18" thickBot="1" x14ac:dyDescent="0.3">
      <c r="C1" s="208" t="s">
        <v>0</v>
      </c>
      <c r="D1" s="210" t="s">
        <v>550</v>
      </c>
      <c r="E1" s="204" t="s">
        <v>2</v>
      </c>
      <c r="F1" s="204" t="s">
        <v>3</v>
      </c>
      <c r="G1" s="212" t="s">
        <v>4</v>
      </c>
      <c r="H1" s="213"/>
      <c r="I1" s="214"/>
      <c r="J1" s="215" t="s">
        <v>548</v>
      </c>
      <c r="K1" s="204" t="s">
        <v>6</v>
      </c>
      <c r="L1" s="204" t="s">
        <v>7</v>
      </c>
      <c r="M1" s="206" t="s">
        <v>8</v>
      </c>
    </row>
    <row r="2" spans="1:13" ht="17.25" x14ac:dyDescent="0.25">
      <c r="C2" s="209"/>
      <c r="D2" s="211"/>
      <c r="E2" s="205"/>
      <c r="F2" s="205"/>
      <c r="G2" s="6" t="s">
        <v>43</v>
      </c>
      <c r="H2" s="6" t="s">
        <v>31</v>
      </c>
      <c r="I2" s="7" t="s">
        <v>33</v>
      </c>
      <c r="J2" s="216"/>
      <c r="K2" s="205"/>
      <c r="L2" s="205"/>
      <c r="M2" s="207"/>
    </row>
    <row r="3" spans="1:13" s="23" customFormat="1" ht="17.25" x14ac:dyDescent="0.25">
      <c r="A3" s="108"/>
      <c r="B3" s="109" t="str">
        <f>+Estado!A11</f>
        <v>E-0</v>
      </c>
      <c r="C3" s="106" t="str">
        <f>IFERROR(VLOOKUP(B3,Estado!$A$9:$B$505,2,FALSE),0)</f>
        <v>REMUNERACIONES</v>
      </c>
      <c r="D3" s="22">
        <f>+D4+D8+D12+D18+D21+D26</f>
        <v>86418080010.329987</v>
      </c>
      <c r="E3" s="22">
        <f t="shared" ref="E3:K3" si="0">+E4+E8+E12+E18+E21+E26</f>
        <v>86418080010.329987</v>
      </c>
      <c r="F3" s="22">
        <f t="shared" si="0"/>
        <v>0</v>
      </c>
      <c r="G3" s="22">
        <f t="shared" si="0"/>
        <v>1970723.45</v>
      </c>
      <c r="H3" s="22">
        <f t="shared" si="0"/>
        <v>0</v>
      </c>
      <c r="I3" s="22">
        <f t="shared" si="0"/>
        <v>82017714248.12001</v>
      </c>
      <c r="J3" s="22">
        <f>+J4+J8+J12+J18+J21+J26</f>
        <v>82019684971.570007</v>
      </c>
      <c r="K3" s="22">
        <f t="shared" si="0"/>
        <v>4398395038.7600002</v>
      </c>
      <c r="L3" s="68">
        <f>+IFERROR(SUM(G3:I3)/D3,0)</f>
        <v>0.94910330062604709</v>
      </c>
      <c r="M3" s="68">
        <f>+IFERROR(+K3/D3,0)</f>
        <v>5.0896699373953205E-2</v>
      </c>
    </row>
    <row r="4" spans="1:13" s="24" customFormat="1" ht="16.5" x14ac:dyDescent="0.25">
      <c r="A4" s="110"/>
      <c r="B4" s="107" t="str">
        <f>+Estado!A12</f>
        <v>E-001</v>
      </c>
      <c r="C4" s="105" t="str">
        <f>IFERROR(VLOOKUP(B4,Estado!$A$9:$B$505,2,FALSE),0)</f>
        <v>REMUNERACIONES BASIC</v>
      </c>
      <c r="D4" s="16">
        <f>SUMIF(Estado!$A$9:$A$368,$B4,Estado!$C$9:$C$368)</f>
        <v>31112638934</v>
      </c>
      <c r="E4" s="16">
        <f>SUMIF(Estado!$A$9:$A$368,$B4,Estado!$D$9:$D$368)</f>
        <v>31112638934</v>
      </c>
      <c r="F4" s="16">
        <f>SUMIF(Estado!$A$9:$A$368,$B4,Estado!$E$9:$E$368)</f>
        <v>0</v>
      </c>
      <c r="G4" s="16">
        <f>SUMIF(Estado!$A$9:$A$368,$B4,Estado!$G$9:$G$368)</f>
        <v>960284.38</v>
      </c>
      <c r="H4" s="16">
        <f>SUMIF(Estado!$A$9:$A$368,$B4,Estado!$I$9:$I$368)</f>
        <v>0</v>
      </c>
      <c r="I4" s="16">
        <f>SUMIF(Estado!$A$9:$A$368,$B4,Estado!$K$9:$K$368)</f>
        <v>29450419992.190002</v>
      </c>
      <c r="J4" s="16">
        <f>SUM(G4:I4)</f>
        <v>29451380276.570004</v>
      </c>
      <c r="K4" s="16">
        <f>SUMIF(Estado!$A$9:$A$368,$B4,Estado!$O$9:$O$368)</f>
        <v>1661258657.4300001</v>
      </c>
      <c r="L4" s="51">
        <f t="shared" ref="L4:L68" si="1">+IFERROR(SUM(G4:I4)/D4,0)</f>
        <v>0.94660502244910616</v>
      </c>
      <c r="M4" s="51">
        <f t="shared" ref="M4:M68" si="2">+IFERROR(+K4/D4,0)</f>
        <v>5.3394977550893979E-2</v>
      </c>
    </row>
    <row r="5" spans="1:13" s="24" customFormat="1" ht="16.5" x14ac:dyDescent="0.25">
      <c r="A5" s="110"/>
      <c r="B5" s="107" t="str">
        <f>+Estado!A13</f>
        <v>E-00101</v>
      </c>
      <c r="C5" s="105" t="str">
        <f>IFERROR(VLOOKUP(B5,Estado!$A$9:$B$505,2,FALSE),0)</f>
        <v>SUELDOS P/ C. FIJOS</v>
      </c>
      <c r="D5" s="16">
        <f>SUMIF(Estado!$A$9:$A$368,$B5,Estado!$C$9:$C$368)</f>
        <v>30844780124</v>
      </c>
      <c r="E5" s="16">
        <f>SUMIF(Estado!$A$9:$A$368,$B5,Estado!$D$9:$D$368)</f>
        <v>30844780124</v>
      </c>
      <c r="F5" s="16">
        <f>SUMIF(Estado!$A$9:$A$368,$B5,Estado!$E$9:$E$368)</f>
        <v>0</v>
      </c>
      <c r="G5" s="16">
        <f>SUMIF(Estado!$A$9:$A$368,$B5,Estado!$G$9:$G$368)</f>
        <v>960284.38</v>
      </c>
      <c r="H5" s="16">
        <f>SUMIF(Estado!$A$9:$A$368,$B5,Estado!$I$9:$I$368)</f>
        <v>0</v>
      </c>
      <c r="I5" s="16">
        <f>SUMIF(Estado!$A$9:$A$368,$B5,Estado!$K$9:$K$368)</f>
        <v>29205763121.209999</v>
      </c>
      <c r="J5" s="16">
        <f t="shared" ref="J5:J69" si="3">SUM(G5:I5)</f>
        <v>29206723405.59</v>
      </c>
      <c r="K5" s="16">
        <f>SUMIF(Estado!$A$9:$A$368,$B5,Estado!$O$9:$O$368)</f>
        <v>1638056718.4100001</v>
      </c>
      <c r="L5" s="51">
        <f t="shared" si="1"/>
        <v>0.9468935517833228</v>
      </c>
      <c r="M5" s="51">
        <f t="shared" si="2"/>
        <v>5.3106448216677198E-2</v>
      </c>
    </row>
    <row r="6" spans="1:13" s="24" customFormat="1" ht="16.5" x14ac:dyDescent="0.25">
      <c r="A6" s="110"/>
      <c r="B6" s="107" t="str">
        <f>+Estado!A14</f>
        <v>E-00103</v>
      </c>
      <c r="C6" s="105" t="str">
        <f>IFERROR(VLOOKUP(B6,Estado!$A$9:$B$505,2,FALSE),0)</f>
        <v>SERVICIOS ESPECIALES</v>
      </c>
      <c r="D6" s="16">
        <f>SUMIF(Estado!$A$9:$A$368,$B6,Estado!$C$9:$C$368)</f>
        <v>262858810</v>
      </c>
      <c r="E6" s="16">
        <f>SUMIF(Estado!$A$9:$A$368,$B6,Estado!$D$9:$D$368)</f>
        <v>262858810</v>
      </c>
      <c r="F6" s="16">
        <f>SUMIF(Estado!$A$9:$A$368,$B6,Estado!$E$9:$E$368)</f>
        <v>0</v>
      </c>
      <c r="G6" s="16">
        <f>SUMIF(Estado!$A$9:$A$368,$B6,Estado!$G$9:$G$368)</f>
        <v>0</v>
      </c>
      <c r="H6" s="16">
        <f>SUMIF(Estado!$A$9:$A$368,$B6,Estado!$I$9:$I$368)</f>
        <v>0</v>
      </c>
      <c r="I6" s="16">
        <f>SUMIF(Estado!$A$9:$A$368,$B6,Estado!$K$9:$K$368)</f>
        <v>243097520.97999999</v>
      </c>
      <c r="J6" s="16">
        <f t="shared" si="3"/>
        <v>243097520.97999999</v>
      </c>
      <c r="K6" s="16">
        <f>SUMIF(Estado!$A$9:$A$368,$B6,Estado!$O$9:$O$368)</f>
        <v>19761289.02</v>
      </c>
      <c r="L6" s="51">
        <f t="shared" si="1"/>
        <v>0.92482165988653753</v>
      </c>
      <c r="M6" s="51">
        <f t="shared" si="2"/>
        <v>7.517834011346243E-2</v>
      </c>
    </row>
    <row r="7" spans="1:13" s="24" customFormat="1" ht="16.5" x14ac:dyDescent="0.25">
      <c r="A7" s="110"/>
      <c r="B7" s="107" t="str">
        <f>+Estado!A15</f>
        <v>E-00105</v>
      </c>
      <c r="C7" s="105" t="str">
        <f>IFERROR(VLOOKUP(B7,Estado!$A$9:$B$505,2,FALSE),0)</f>
        <v>SUPLENCIAS</v>
      </c>
      <c r="D7" s="16">
        <f>SUMIF(Estado!$A$9:$A$368,$B7,Estado!$C$9:$C$368)</f>
        <v>5000000</v>
      </c>
      <c r="E7" s="16">
        <f>SUMIF(Estado!$A$9:$A$368,$B7,Estado!$D$9:$D$368)</f>
        <v>5000000</v>
      </c>
      <c r="F7" s="16">
        <f>SUMIF(Estado!$A$9:$A$368,$B7,Estado!$E$9:$E$368)</f>
        <v>0</v>
      </c>
      <c r="G7" s="16">
        <f>SUMIF(Estado!$A$9:$A$368,$B7,Estado!$G$9:$G$368)</f>
        <v>0</v>
      </c>
      <c r="H7" s="16">
        <f>SUMIF(Estado!$A$9:$A$368,$B7,Estado!$I$9:$I$368)</f>
        <v>0</v>
      </c>
      <c r="I7" s="16">
        <f>SUMIF(Estado!$A$9:$A$368,$B7,Estado!$K$9:$K$368)</f>
        <v>1559350</v>
      </c>
      <c r="J7" s="16">
        <f t="shared" si="3"/>
        <v>1559350</v>
      </c>
      <c r="K7" s="16">
        <f>SUMIF(Estado!$A$9:$A$368,$B7,Estado!$O$9:$O$368)</f>
        <v>3440650</v>
      </c>
      <c r="L7" s="51">
        <f t="shared" si="1"/>
        <v>0.31186999999999998</v>
      </c>
      <c r="M7" s="51">
        <f t="shared" si="2"/>
        <v>0.68813000000000002</v>
      </c>
    </row>
    <row r="8" spans="1:13" s="24" customFormat="1" ht="16.5" x14ac:dyDescent="0.25">
      <c r="A8" s="110"/>
      <c r="B8" s="107" t="str">
        <f>+Estado!A16</f>
        <v>E-002</v>
      </c>
      <c r="C8" s="105" t="str">
        <f>IFERROR(VLOOKUP(B8,Estado!$A$9:$B$505,2,FALSE),0)</f>
        <v>REMUNERACIONES EVENT</v>
      </c>
      <c r="D8" s="16">
        <f>SUMIF(Estado!$A$9:$A$368,$B8,Estado!$C$9:$C$368)</f>
        <v>3336396105</v>
      </c>
      <c r="E8" s="16">
        <f>SUMIF(Estado!$A$9:$A$368,$B8,Estado!$D$9:$D$368)</f>
        <v>3336396105</v>
      </c>
      <c r="F8" s="16">
        <f>SUMIF(Estado!$A$9:$A$368,$B8,Estado!$E$9:$E$368)</f>
        <v>0</v>
      </c>
      <c r="G8" s="16">
        <f>SUMIF(Estado!$A$9:$A$368,$B8,Estado!$G$9:$G$368)</f>
        <v>0</v>
      </c>
      <c r="H8" s="16">
        <f>SUMIF(Estado!$A$9:$A$368,$B8,Estado!$I$9:$I$368)</f>
        <v>0</v>
      </c>
      <c r="I8" s="16">
        <f>SUMIF(Estado!$A$9:$A$368,$B8,Estado!$K$9:$K$368)</f>
        <v>3255875051.25</v>
      </c>
      <c r="J8" s="16">
        <f t="shared" si="3"/>
        <v>3255875051.25</v>
      </c>
      <c r="K8" s="16">
        <f>SUMIF(Estado!$A$9:$A$368,$B8,Estado!$O$9:$O$368)</f>
        <v>80521053.75</v>
      </c>
      <c r="L8" s="51">
        <f t="shared" si="1"/>
        <v>0.97586585908389911</v>
      </c>
      <c r="M8" s="51">
        <f t="shared" si="2"/>
        <v>2.4134140916100846E-2</v>
      </c>
    </row>
    <row r="9" spans="1:13" s="24" customFormat="1" ht="16.5" x14ac:dyDescent="0.25">
      <c r="A9" s="110"/>
      <c r="B9" s="107" t="str">
        <f>+Estado!A17</f>
        <v>E-00201</v>
      </c>
      <c r="C9" s="105" t="str">
        <f>IFERROR(VLOOKUP(B9,Estado!$A$9:$B$505,2,FALSE),0)</f>
        <v>TIEMPO EXTRAORD.</v>
      </c>
      <c r="D9" s="16">
        <f>SUMIF(Estado!$A$9:$A$368,$B9,Estado!$C$9:$C$368)</f>
        <v>31000000</v>
      </c>
      <c r="E9" s="16">
        <f>SUMIF(Estado!$A$9:$A$368,$B9,Estado!$D$9:$D$368)</f>
        <v>31000000</v>
      </c>
      <c r="F9" s="16">
        <f>SUMIF(Estado!$A$9:$A$368,$B9,Estado!$E$9:$E$368)</f>
        <v>0</v>
      </c>
      <c r="G9" s="16">
        <f>SUMIF(Estado!$A$9:$A$368,$B9,Estado!$G$9:$G$368)</f>
        <v>0</v>
      </c>
      <c r="H9" s="16">
        <f>SUMIF(Estado!$A$9:$A$368,$B9,Estado!$I$9:$I$368)</f>
        <v>0</v>
      </c>
      <c r="I9" s="16">
        <f>SUMIF(Estado!$A$9:$A$368,$B9,Estado!$K$9:$K$368)</f>
        <v>18005019.91</v>
      </c>
      <c r="J9" s="16">
        <f t="shared" si="3"/>
        <v>18005019.91</v>
      </c>
      <c r="K9" s="16">
        <f>SUMIF(Estado!$A$9:$A$368,$B9,Estado!$O$9:$O$368)</f>
        <v>12994980.09</v>
      </c>
      <c r="L9" s="51">
        <f t="shared" si="1"/>
        <v>0.58080709387096774</v>
      </c>
      <c r="M9" s="51">
        <f t="shared" si="2"/>
        <v>0.41919290612903226</v>
      </c>
    </row>
    <row r="10" spans="1:13" s="24" customFormat="1" ht="16.5" x14ac:dyDescent="0.25">
      <c r="A10" s="110"/>
      <c r="B10" s="107" t="str">
        <f>+Estado!A18</f>
        <v>E-00202</v>
      </c>
      <c r="C10" s="105" t="str">
        <f>IFERROR(VLOOKUP(B10,Estado!$A$9:$B$505,2,FALSE),0)</f>
        <v>RECARGO DE FUNCIONES</v>
      </c>
      <c r="D10" s="16">
        <f>SUMIF(Estado!$A$9:$A$368,$B10,Estado!$C$9:$C$368)</f>
        <v>29000000</v>
      </c>
      <c r="E10" s="16">
        <f>SUMIF(Estado!$A$9:$A$368,$B10,Estado!$D$9:$D$368)</f>
        <v>29000000</v>
      </c>
      <c r="F10" s="16">
        <f>SUMIF(Estado!$A$9:$A$368,$B10,Estado!$E$9:$E$368)</f>
        <v>0</v>
      </c>
      <c r="G10" s="16">
        <f>SUMIF(Estado!$A$9:$A$368,$B10,Estado!$G$9:$G$368)</f>
        <v>0</v>
      </c>
      <c r="H10" s="16">
        <f>SUMIF(Estado!$A$9:$A$368,$B10,Estado!$I$9:$I$368)</f>
        <v>0</v>
      </c>
      <c r="I10" s="16">
        <f>SUMIF(Estado!$A$9:$A$368,$B10,Estado!$K$9:$K$368)</f>
        <v>15215155</v>
      </c>
      <c r="J10" s="16">
        <f t="shared" si="3"/>
        <v>15215155</v>
      </c>
      <c r="K10" s="16">
        <f>SUMIF(Estado!$A$9:$A$368,$B10,Estado!$O$9:$O$368)</f>
        <v>13784845</v>
      </c>
      <c r="L10" s="51">
        <f t="shared" si="1"/>
        <v>0.5246605172413793</v>
      </c>
      <c r="M10" s="51">
        <f t="shared" si="2"/>
        <v>0.4753394827586207</v>
      </c>
    </row>
    <row r="11" spans="1:13" s="24" customFormat="1" ht="16.5" x14ac:dyDescent="0.25">
      <c r="A11" s="110"/>
      <c r="B11" s="107" t="str">
        <f>+Estado!A19</f>
        <v>E-00203</v>
      </c>
      <c r="C11" s="105" t="str">
        <f>IFERROR(VLOOKUP(B11,Estado!$A$9:$B$505,2,FALSE),0)</f>
        <v>DISPONIBILIDAD LAB.</v>
      </c>
      <c r="D11" s="16">
        <f>SUMIF(Estado!$A$9:$A$368,$B11,Estado!$C$9:$C$368)</f>
        <v>3276396105</v>
      </c>
      <c r="E11" s="16">
        <f>SUMIF(Estado!$A$9:$A$368,$B11,Estado!$D$9:$D$368)</f>
        <v>3276396105</v>
      </c>
      <c r="F11" s="16">
        <f>SUMIF(Estado!$A$9:$A$368,$B11,Estado!$E$9:$E$368)</f>
        <v>0</v>
      </c>
      <c r="G11" s="16">
        <f>SUMIF(Estado!$A$9:$A$368,$B11,Estado!$G$9:$G$368)</f>
        <v>0</v>
      </c>
      <c r="H11" s="16">
        <f>SUMIF(Estado!$A$9:$A$368,$B11,Estado!$I$9:$I$368)</f>
        <v>0</v>
      </c>
      <c r="I11" s="16">
        <f>SUMIF(Estado!$A$9:$A$368,$B11,Estado!$K$9:$K$368)</f>
        <v>3222654876.3400002</v>
      </c>
      <c r="J11" s="16">
        <f t="shared" si="3"/>
        <v>3222654876.3400002</v>
      </c>
      <c r="K11" s="16">
        <f>SUMIF(Estado!$A$9:$A$368,$B11,Estado!$O$9:$O$368)</f>
        <v>53741228.659999996</v>
      </c>
      <c r="L11" s="51">
        <f t="shared" si="1"/>
        <v>0.98359745679773358</v>
      </c>
      <c r="M11" s="51">
        <f t="shared" si="2"/>
        <v>1.6402543202266442E-2</v>
      </c>
    </row>
    <row r="12" spans="1:13" s="24" customFormat="1" ht="16.5" x14ac:dyDescent="0.25">
      <c r="A12" s="110"/>
      <c r="B12" s="107" t="str">
        <f>+Estado!A20</f>
        <v>E-003</v>
      </c>
      <c r="C12" s="105" t="str">
        <f>IFERROR(VLOOKUP(B12,Estado!$A$9:$B$505,2,FALSE),0)</f>
        <v>INCENTIVOS SALARIAL</v>
      </c>
      <c r="D12" s="16">
        <f>SUMIF(Estado!$A$9:$A$368,$B12,Estado!$C$9:$C$368)</f>
        <v>38787164079.739998</v>
      </c>
      <c r="E12" s="16">
        <f>SUMIF(Estado!$A$9:$A$368,$B12,Estado!$D$9:$D$368)</f>
        <v>38787164079.739998</v>
      </c>
      <c r="F12" s="16">
        <f>SUMIF(Estado!$A$9:$A$368,$B12,Estado!$E$9:$E$368)</f>
        <v>0</v>
      </c>
      <c r="G12" s="16">
        <f>SUMIF(Estado!$A$9:$A$368,$B12,Estado!$G$9:$G$368)</f>
        <v>1010439.07</v>
      </c>
      <c r="H12" s="16">
        <f>SUMIF(Estado!$A$9:$A$368,$B12,Estado!$I$9:$I$368)</f>
        <v>0</v>
      </c>
      <c r="I12" s="16">
        <f>SUMIF(Estado!$A$9:$A$368,$B12,Estado!$K$9:$K$368)</f>
        <v>36972388629.300003</v>
      </c>
      <c r="J12" s="16">
        <f t="shared" si="3"/>
        <v>36973399068.370003</v>
      </c>
      <c r="K12" s="16">
        <f>SUMIF(Estado!$A$9:$A$368,$B12,Estado!$O$9:$O$368)</f>
        <v>1813765011.3699999</v>
      </c>
      <c r="L12" s="51">
        <f t="shared" si="1"/>
        <v>0.95323800916093804</v>
      </c>
      <c r="M12" s="51">
        <f t="shared" si="2"/>
        <v>4.6761990839062087E-2</v>
      </c>
    </row>
    <row r="13" spans="1:13" s="24" customFormat="1" ht="16.5" x14ac:dyDescent="0.25">
      <c r="A13" s="110"/>
      <c r="B13" s="107" t="str">
        <f>+Estado!A21</f>
        <v>E-00301</v>
      </c>
      <c r="C13" s="105" t="str">
        <f>IFERROR(VLOOKUP(B13,Estado!$A$9:$B$505,2,FALSE),0)</f>
        <v>RETRIB AÑOS SERVIDOS</v>
      </c>
      <c r="D13" s="16">
        <f>SUMIF(Estado!$A$9:$A$368,$B13,Estado!$C$9:$C$368)</f>
        <v>11079175713</v>
      </c>
      <c r="E13" s="16">
        <f>SUMIF(Estado!$A$9:$A$368,$B13,Estado!$D$9:$D$368)</f>
        <v>11079175713</v>
      </c>
      <c r="F13" s="16">
        <f>SUMIF(Estado!$A$9:$A$368,$B13,Estado!$E$9:$E$368)</f>
        <v>0</v>
      </c>
      <c r="G13" s="16">
        <f>SUMIF(Estado!$A$9:$A$368,$B13,Estado!$G$9:$G$368)</f>
        <v>369693.64</v>
      </c>
      <c r="H13" s="16">
        <f>SUMIF(Estado!$A$9:$A$368,$B13,Estado!$I$9:$I$368)</f>
        <v>0</v>
      </c>
      <c r="I13" s="16">
        <f>SUMIF(Estado!$A$9:$A$368,$B13,Estado!$K$9:$K$368)</f>
        <v>10814490385.35</v>
      </c>
      <c r="J13" s="16">
        <f t="shared" si="3"/>
        <v>10814860078.99</v>
      </c>
      <c r="K13" s="16">
        <f>SUMIF(Estado!$A$9:$A$368,$B13,Estado!$O$9:$O$368)</f>
        <v>264315634.00999999</v>
      </c>
      <c r="L13" s="51">
        <f t="shared" si="1"/>
        <v>0.97614302355545646</v>
      </c>
      <c r="M13" s="51">
        <f t="shared" si="2"/>
        <v>2.385697644454355E-2</v>
      </c>
    </row>
    <row r="14" spans="1:13" s="24" customFormat="1" ht="16.5" x14ac:dyDescent="0.25">
      <c r="A14" s="110"/>
      <c r="B14" s="107" t="str">
        <f>+Estado!A22</f>
        <v>E-00302</v>
      </c>
      <c r="C14" s="105" t="str">
        <f>IFERROR(VLOOKUP(B14,Estado!$A$9:$B$505,2,FALSE),0)</f>
        <v>REST. EJERC LIB PROF</v>
      </c>
      <c r="D14" s="16">
        <f>SUMIF(Estado!$A$9:$A$368,$B14,Estado!$C$9:$C$368)</f>
        <v>8120006169.5</v>
      </c>
      <c r="E14" s="16">
        <f>SUMIF(Estado!$A$9:$A$368,$B14,Estado!$D$9:$D$368)</f>
        <v>8120006169.5</v>
      </c>
      <c r="F14" s="16">
        <f>SUMIF(Estado!$A$9:$A$368,$B14,Estado!$E$9:$E$368)</f>
        <v>0</v>
      </c>
      <c r="G14" s="16">
        <f>SUMIF(Estado!$A$9:$A$368,$B14,Estado!$G$9:$G$368)</f>
        <v>274282.77</v>
      </c>
      <c r="H14" s="16">
        <f>SUMIF(Estado!$A$9:$A$368,$B14,Estado!$I$9:$I$368)</f>
        <v>0</v>
      </c>
      <c r="I14" s="16">
        <f>SUMIF(Estado!$A$9:$A$368,$B14,Estado!$K$9:$K$368)</f>
        <v>7440513191.8999996</v>
      </c>
      <c r="J14" s="16">
        <f t="shared" si="3"/>
        <v>7440787474.6700001</v>
      </c>
      <c r="K14" s="16">
        <f>SUMIF(Estado!$A$9:$A$368,$B14,Estado!$O$9:$O$368)</f>
        <v>679218694.83000004</v>
      </c>
      <c r="L14" s="51">
        <f t="shared" si="1"/>
        <v>0.91635244103862257</v>
      </c>
      <c r="M14" s="51">
        <f t="shared" si="2"/>
        <v>8.3647558961377461E-2</v>
      </c>
    </row>
    <row r="15" spans="1:13" s="24" customFormat="1" ht="16.5" x14ac:dyDescent="0.25">
      <c r="A15" s="110"/>
      <c r="B15" s="107" t="str">
        <f>+Estado!A23</f>
        <v>E-00303</v>
      </c>
      <c r="C15" s="105" t="str">
        <f>IFERROR(VLOOKUP(B15,Estado!$A$9:$B$505,2,FALSE),0)</f>
        <v>DECIMOTERCER MES</v>
      </c>
      <c r="D15" s="16">
        <f>SUMIF(Estado!$A$9:$A$368,$B15,Estado!$C$9:$C$368)</f>
        <v>5596807551.5100002</v>
      </c>
      <c r="E15" s="16">
        <f>SUMIF(Estado!$A$9:$A$368,$B15,Estado!$D$9:$D$368)</f>
        <v>5596807551.5100002</v>
      </c>
      <c r="F15" s="16">
        <f>SUMIF(Estado!$A$9:$A$368,$B15,Estado!$E$9:$E$368)</f>
        <v>0</v>
      </c>
      <c r="G15" s="16">
        <f>SUMIF(Estado!$A$9:$A$368,$B15,Estado!$G$9:$G$368)</f>
        <v>0</v>
      </c>
      <c r="H15" s="16">
        <f>SUMIF(Estado!$A$9:$A$368,$B15,Estado!$I$9:$I$368)</f>
        <v>0</v>
      </c>
      <c r="I15" s="16">
        <f>SUMIF(Estado!$A$9:$A$368,$B15,Estado!$K$9:$K$368)</f>
        <v>5360358227.8699999</v>
      </c>
      <c r="J15" s="16">
        <f t="shared" si="3"/>
        <v>5360358227.8699999</v>
      </c>
      <c r="K15" s="16">
        <f>SUMIF(Estado!$A$9:$A$368,$B15,Estado!$O$9:$O$368)</f>
        <v>236449323.63999999</v>
      </c>
      <c r="L15" s="51">
        <f t="shared" si="1"/>
        <v>0.95775282221805047</v>
      </c>
      <c r="M15" s="51">
        <f t="shared" si="2"/>
        <v>4.2247177781949412E-2</v>
      </c>
    </row>
    <row r="16" spans="1:13" s="24" customFormat="1" ht="16.5" x14ac:dyDescent="0.25">
      <c r="A16" s="110"/>
      <c r="B16" s="107" t="str">
        <f>+Estado!A24</f>
        <v>E-00304</v>
      </c>
      <c r="C16" s="105" t="str">
        <f>IFERROR(VLOOKUP(B16,Estado!$A$9:$B$505,2,FALSE),0)</f>
        <v>SALARIO ESCOLAR</v>
      </c>
      <c r="D16" s="16">
        <f>SUMIF(Estado!$A$9:$A$368,$B16,Estado!$C$9:$C$368)</f>
        <v>4696067006.7299995</v>
      </c>
      <c r="E16" s="16">
        <f>SUMIF(Estado!$A$9:$A$368,$B16,Estado!$D$9:$D$368)</f>
        <v>4696067006.7299995</v>
      </c>
      <c r="F16" s="16">
        <f>SUMIF(Estado!$A$9:$A$368,$B16,Estado!$E$9:$E$368)</f>
        <v>0</v>
      </c>
      <c r="G16" s="16">
        <f>SUMIF(Estado!$A$9:$A$368,$B16,Estado!$G$9:$G$368)</f>
        <v>137893.68</v>
      </c>
      <c r="H16" s="16">
        <f>SUMIF(Estado!$A$9:$A$368,$B16,Estado!$I$9:$I$368)</f>
        <v>0</v>
      </c>
      <c r="I16" s="16">
        <f>SUMIF(Estado!$A$9:$A$368,$B16,Estado!$K$9:$K$368)</f>
        <v>4609585640.8800001</v>
      </c>
      <c r="J16" s="16">
        <f t="shared" si="3"/>
        <v>4609723534.5600004</v>
      </c>
      <c r="K16" s="16">
        <f>SUMIF(Estado!$A$9:$A$368,$B16,Estado!$O$9:$O$368)</f>
        <v>86343472.169999987</v>
      </c>
      <c r="L16" s="51">
        <f t="shared" si="1"/>
        <v>0.98161366265722805</v>
      </c>
      <c r="M16" s="51">
        <f t="shared" si="2"/>
        <v>1.8386337342772143E-2</v>
      </c>
    </row>
    <row r="17" spans="1:13" s="24" customFormat="1" ht="16.5" x14ac:dyDescent="0.25">
      <c r="A17" s="110"/>
      <c r="B17" s="107" t="str">
        <f>+Estado!A25</f>
        <v>E-00399</v>
      </c>
      <c r="C17" s="105" t="str">
        <f>IFERROR(VLOOKUP(B17,Estado!$A$9:$B$505,2,FALSE),0)</f>
        <v>OTROS INCENT SALAR.</v>
      </c>
      <c r="D17" s="16">
        <f>SUMIF(Estado!$A$9:$A$368,$B17,Estado!$C$9:$C$368)</f>
        <v>9295107639</v>
      </c>
      <c r="E17" s="16">
        <f>SUMIF(Estado!$A$9:$A$368,$B17,Estado!$D$9:$D$368)</f>
        <v>9295107639</v>
      </c>
      <c r="F17" s="16">
        <f>SUMIF(Estado!$A$9:$A$368,$B17,Estado!$E$9:$E$368)</f>
        <v>0</v>
      </c>
      <c r="G17" s="16">
        <f>SUMIF(Estado!$A$9:$A$368,$B17,Estado!$G$9:$G$368)</f>
        <v>228568.98</v>
      </c>
      <c r="H17" s="16">
        <f>SUMIF(Estado!$A$9:$A$368,$B17,Estado!$I$9:$I$368)</f>
        <v>0</v>
      </c>
      <c r="I17" s="16">
        <f>SUMIF(Estado!$A$9:$A$368,$B17,Estado!$K$9:$K$368)</f>
        <v>8747441183.2999992</v>
      </c>
      <c r="J17" s="16">
        <f t="shared" si="3"/>
        <v>8747669752.2799988</v>
      </c>
      <c r="K17" s="16">
        <f>SUMIF(Estado!$A$9:$A$368,$B17,Estado!$O$9:$O$368)</f>
        <v>547437886.72000003</v>
      </c>
      <c r="L17" s="51">
        <f t="shared" si="1"/>
        <v>0.941104728639926</v>
      </c>
      <c r="M17" s="51">
        <f t="shared" si="2"/>
        <v>5.8895271360073817E-2</v>
      </c>
    </row>
    <row r="18" spans="1:13" s="24" customFormat="1" ht="16.5" x14ac:dyDescent="0.25">
      <c r="A18" s="110"/>
      <c r="B18" s="107" t="str">
        <f>+Estado!A26</f>
        <v>E-004</v>
      </c>
      <c r="C18" s="105" t="str">
        <f>IFERROR(VLOOKUP(B18,Estado!$A$9:$B$505,2,FALSE),0)</f>
        <v>CONT PATR DESA S.SOC</v>
      </c>
      <c r="D18" s="16">
        <f>SUMIF(Estado!$A$9:$A$368,$B18,Estado!$C$9:$C$368)</f>
        <v>6613396228.0500002</v>
      </c>
      <c r="E18" s="16">
        <f>SUMIF(Estado!$A$9:$A$368,$B18,Estado!$D$9:$D$368)</f>
        <v>6613396228.0500002</v>
      </c>
      <c r="F18" s="16">
        <f>SUMIF(Estado!$A$9:$A$368,$B18,Estado!$E$9:$E$368)</f>
        <v>0</v>
      </c>
      <c r="G18" s="16">
        <f>SUMIF(Estado!$A$9:$A$368,$B18,Estado!$G$9:$G$368)</f>
        <v>0</v>
      </c>
      <c r="H18" s="16">
        <f>SUMIF(Estado!$A$9:$A$368,$B18,Estado!$I$9:$I$368)</f>
        <v>0</v>
      </c>
      <c r="I18" s="16">
        <f>SUMIF(Estado!$A$9:$A$368,$B18,Estado!$K$9:$K$368)</f>
        <v>6235494699.1099997</v>
      </c>
      <c r="J18" s="16">
        <f t="shared" si="3"/>
        <v>6235494699.1099997</v>
      </c>
      <c r="K18" s="16">
        <f>SUMIF(Estado!$A$9:$A$368,$B18,Estado!$O$9:$O$368)</f>
        <v>377901528.94</v>
      </c>
      <c r="L18" s="51">
        <f t="shared" si="1"/>
        <v>0.94285817514801662</v>
      </c>
      <c r="M18" s="51">
        <f t="shared" si="2"/>
        <v>5.7141824851983283E-2</v>
      </c>
    </row>
    <row r="19" spans="1:13" s="24" customFormat="1" ht="16.5" x14ac:dyDescent="0.25">
      <c r="A19" s="110"/>
      <c r="B19" s="107" t="str">
        <f>+Estado!A27</f>
        <v>E-00401</v>
      </c>
      <c r="C19" s="105" t="str">
        <f>IFERROR(VLOOKUP(B19,Estado!$A$9:$B$505,2,FALSE),0)</f>
        <v>CONT P.SEG.S C.C.S.S</v>
      </c>
      <c r="D19" s="16">
        <f>SUMIF(Estado!$A$9:$A$368,$B19,Estado!$C$9:$C$368)</f>
        <v>6274243912.4300003</v>
      </c>
      <c r="E19" s="16">
        <f>SUMIF(Estado!$A$9:$A$368,$B19,Estado!$D$9:$D$368)</f>
        <v>6274243912.4300003</v>
      </c>
      <c r="F19" s="16">
        <f>SUMIF(Estado!$A$9:$A$368,$B19,Estado!$E$9:$E$368)</f>
        <v>0</v>
      </c>
      <c r="G19" s="16">
        <f>SUMIF(Estado!$A$9:$A$368,$B19,Estado!$G$9:$G$368)</f>
        <v>0</v>
      </c>
      <c r="H19" s="16">
        <f>SUMIF(Estado!$A$9:$A$368,$B19,Estado!$I$9:$I$368)</f>
        <v>0</v>
      </c>
      <c r="I19" s="16">
        <f>SUMIF(Estado!$A$9:$A$368,$B19,Estado!$K$9:$K$368)</f>
        <v>5915752656.0299997</v>
      </c>
      <c r="J19" s="16">
        <f t="shared" si="3"/>
        <v>5915752656.0299997</v>
      </c>
      <c r="K19" s="16">
        <f>SUMIF(Estado!$A$9:$A$368,$B19,Estado!$O$9:$O$368)</f>
        <v>358491256.39999998</v>
      </c>
      <c r="L19" s="51">
        <f t="shared" si="1"/>
        <v>0.94286303474912925</v>
      </c>
      <c r="M19" s="51">
        <f t="shared" si="2"/>
        <v>5.7136965250870704E-2</v>
      </c>
    </row>
    <row r="20" spans="1:13" s="24" customFormat="1" ht="16.5" x14ac:dyDescent="0.25">
      <c r="A20" s="110"/>
      <c r="B20" s="107" t="str">
        <f>+Estado!A33</f>
        <v>E-00405</v>
      </c>
      <c r="C20" s="105" t="str">
        <f>IFERROR(VLOOKUP(B20,Estado!$A$9:$B$505,2,FALSE),0)</f>
        <v>CONTRIB PAT B.P.D.C.</v>
      </c>
      <c r="D20" s="16">
        <f>SUMIF(Estado!$A$9:$A$368,$B20,Estado!$C$9:$C$368)</f>
        <v>339152315.62</v>
      </c>
      <c r="E20" s="16">
        <f>SUMIF(Estado!$A$9:$A$368,$B20,Estado!$D$9:$D$368)</f>
        <v>339152315.62</v>
      </c>
      <c r="F20" s="16">
        <f>SUMIF(Estado!$A$9:$A$368,$B20,Estado!$E$9:$E$368)</f>
        <v>0</v>
      </c>
      <c r="G20" s="16">
        <f>SUMIF(Estado!$A$9:$A$368,$B20,Estado!$G$9:$G$368)</f>
        <v>0</v>
      </c>
      <c r="H20" s="16">
        <f>SUMIF(Estado!$A$9:$A$368,$B20,Estado!$I$9:$I$368)</f>
        <v>0</v>
      </c>
      <c r="I20" s="16">
        <f>SUMIF(Estado!$A$9:$A$368,$B20,Estado!$K$9:$K$368)</f>
        <v>319742043.07999998</v>
      </c>
      <c r="J20" s="16">
        <f t="shared" si="3"/>
        <v>319742043.07999998</v>
      </c>
      <c r="K20" s="16">
        <f>SUMIF(Estado!$A$9:$A$368,$B20,Estado!$O$9:$O$368)</f>
        <v>19410272.539999999</v>
      </c>
      <c r="L20" s="51">
        <f t="shared" si="1"/>
        <v>0.9427682735867029</v>
      </c>
      <c r="M20" s="51">
        <f t="shared" si="2"/>
        <v>5.7231726413297011E-2</v>
      </c>
    </row>
    <row r="21" spans="1:13" s="24" customFormat="1" ht="16.5" x14ac:dyDescent="0.25">
      <c r="A21" s="110"/>
      <c r="B21" s="107" t="str">
        <f>+Estado!A39</f>
        <v>E-005</v>
      </c>
      <c r="C21" s="105" t="str">
        <f>IFERROR(VLOOKUP(B21,Estado!$A$9:$B$505,2,FALSE),0)</f>
        <v>CONT PATR F.PENS OTR</v>
      </c>
      <c r="D21" s="16">
        <f>SUMIF(Estado!$A$9:$A$368,$B21,Estado!$C$9:$C$368)</f>
        <v>6568184663.54</v>
      </c>
      <c r="E21" s="16">
        <f>SUMIF(Estado!$A$9:$A$368,$B21,Estado!$D$9:$D$368)</f>
        <v>6568184663.54</v>
      </c>
      <c r="F21" s="16">
        <f>SUMIF(Estado!$A$9:$A$368,$B21,Estado!$E$9:$E$368)</f>
        <v>0</v>
      </c>
      <c r="G21" s="16">
        <f>SUMIF(Estado!$A$9:$A$368,$B21,Estado!$G$9:$G$368)</f>
        <v>0</v>
      </c>
      <c r="H21" s="16">
        <f>SUMIF(Estado!$A$9:$A$368,$B21,Estado!$I$9:$I$368)</f>
        <v>0</v>
      </c>
      <c r="I21" s="16">
        <f>SUMIF(Estado!$A$9:$A$368,$B21,Estado!$K$9:$K$368)</f>
        <v>6103235876.2700005</v>
      </c>
      <c r="J21" s="16">
        <f t="shared" si="3"/>
        <v>6103235876.2700005</v>
      </c>
      <c r="K21" s="16">
        <f>SUMIF(Estado!$A$9:$A$368,$B21,Estado!$O$9:$O$368)</f>
        <v>464948787.26999998</v>
      </c>
      <c r="L21" s="51">
        <f t="shared" si="1"/>
        <v>0.9292119800085813</v>
      </c>
      <c r="M21" s="51">
        <f t="shared" si="2"/>
        <v>7.0788019991418816E-2</v>
      </c>
    </row>
    <row r="22" spans="1:13" s="23" customFormat="1" ht="16.5" x14ac:dyDescent="0.25">
      <c r="A22" s="108"/>
      <c r="B22" s="107" t="str">
        <f>+Estado!A40</f>
        <v>E-00501</v>
      </c>
      <c r="C22" s="105" t="str">
        <f>IFERROR(VLOOKUP(B22,Estado!$A$9:$B$505,2,FALSE),0)</f>
        <v>CONT P.SPENS.C.C.S.S</v>
      </c>
      <c r="D22" s="16">
        <f>SUMIF(Estado!$A$9:$A$368,$B22,Estado!$C$9:$C$368)</f>
        <v>3405482793.1700001</v>
      </c>
      <c r="E22" s="16">
        <f>SUMIF(Estado!$A$9:$A$368,$B22,Estado!$D$9:$D$368)</f>
        <v>3405482793.1700001</v>
      </c>
      <c r="F22" s="16">
        <f>SUMIF(Estado!$A$9:$A$368,$B22,Estado!$E$9:$E$368)</f>
        <v>0</v>
      </c>
      <c r="G22" s="16">
        <f>SUMIF(Estado!$A$9:$A$368,$B22,Estado!$G$9:$G$368)</f>
        <v>0</v>
      </c>
      <c r="H22" s="16">
        <f>SUMIF(Estado!$A$9:$A$368,$B22,Estado!$I$9:$I$368)</f>
        <v>0</v>
      </c>
      <c r="I22" s="16">
        <f>SUMIF(Estado!$A$9:$A$368,$B22,Estado!$K$9:$K$368)</f>
        <v>3131709086.29</v>
      </c>
      <c r="J22" s="16">
        <f t="shared" ref="J22" si="4">SUM(G22:I22)</f>
        <v>3131709086.29</v>
      </c>
      <c r="K22" s="16">
        <f>SUMIF(Estado!$A$9:$A$368,$B22,Estado!$O$9:$O$368)</f>
        <v>273773706.88</v>
      </c>
      <c r="L22" s="51">
        <f t="shared" si="1"/>
        <v>0.91960796060133454</v>
      </c>
      <c r="M22" s="51">
        <f t="shared" si="2"/>
        <v>8.0392039398665474E-2</v>
      </c>
    </row>
    <row r="23" spans="1:13" s="24" customFormat="1" ht="16.5" x14ac:dyDescent="0.25">
      <c r="A23" s="110"/>
      <c r="B23" s="107" t="str">
        <f>+Estado!A46</f>
        <v>E-00502</v>
      </c>
      <c r="C23" s="105" t="str">
        <f>IFERROR(VLOOKUP(B23,Estado!$A$9:$B$505,2,FALSE),0)</f>
        <v>APORT P.RÉG.OBLI.P.C</v>
      </c>
      <c r="D23" s="16">
        <f>SUMIF(Estado!$A$9:$A$368,$B23,Estado!$C$9:$C$368)</f>
        <v>1017449954.2</v>
      </c>
      <c r="E23" s="16">
        <f>SUMIF(Estado!$A$9:$A$368,$B23,Estado!$D$9:$D$368)</f>
        <v>1017449954.2</v>
      </c>
      <c r="F23" s="16">
        <f>SUMIF(Estado!$A$9:$A$368,$B23,Estado!$E$9:$E$368)</f>
        <v>0</v>
      </c>
      <c r="G23" s="16">
        <f>SUMIF(Estado!$A$9:$A$368,$B23,Estado!$G$9:$G$368)</f>
        <v>0</v>
      </c>
      <c r="H23" s="16">
        <f>SUMIF(Estado!$A$9:$A$368,$B23,Estado!$I$9:$I$368)</f>
        <v>0</v>
      </c>
      <c r="I23" s="16">
        <f>SUMIF(Estado!$A$9:$A$368,$B23,Estado!$K$9:$K$368)</f>
        <v>959226557.25</v>
      </c>
      <c r="J23" s="16">
        <f t="shared" si="3"/>
        <v>959226557.25</v>
      </c>
      <c r="K23" s="16">
        <f>SUMIF(Estado!$A$9:$A$368,$B23,Estado!$O$9:$O$368)</f>
        <v>58223396.950000003</v>
      </c>
      <c r="L23" s="51">
        <f t="shared" si="1"/>
        <v>0.94277517364892904</v>
      </c>
      <c r="M23" s="51">
        <f t="shared" si="2"/>
        <v>5.7224826351070859E-2</v>
      </c>
    </row>
    <row r="24" spans="1:13" s="24" customFormat="1" ht="16.5" x14ac:dyDescent="0.25">
      <c r="A24" s="110"/>
      <c r="B24" s="107" t="str">
        <f>+Estado!A52</f>
        <v>E-00503</v>
      </c>
      <c r="C24" s="105" t="str">
        <f>IFERROR(VLOOKUP(B24,Estado!$A$9:$B$505,2,FALSE),0)</f>
        <v>APORT P.FOND.CAP.LAB</v>
      </c>
      <c r="D24" s="16">
        <f>SUMIF(Estado!$A$9:$A$368,$B24,Estado!$C$9:$C$368)</f>
        <v>2034892916.1700001</v>
      </c>
      <c r="E24" s="16">
        <f>SUMIF(Estado!$A$9:$A$368,$B24,Estado!$D$9:$D$368)</f>
        <v>2034892916.1700001</v>
      </c>
      <c r="F24" s="16">
        <f>SUMIF(Estado!$A$9:$A$368,$B24,Estado!$E$9:$E$368)</f>
        <v>0</v>
      </c>
      <c r="G24" s="16">
        <f>SUMIF(Estado!$A$9:$A$368,$B24,Estado!$G$9:$G$368)</f>
        <v>0</v>
      </c>
      <c r="H24" s="16">
        <f>SUMIF(Estado!$A$9:$A$368,$B24,Estado!$I$9:$I$368)</f>
        <v>0</v>
      </c>
      <c r="I24" s="16">
        <f>SUMIF(Estado!$A$9:$A$368,$B24,Estado!$K$9:$K$368)</f>
        <v>1918451520.5</v>
      </c>
      <c r="J24" s="16">
        <f t="shared" si="3"/>
        <v>1918451520.5</v>
      </c>
      <c r="K24" s="16">
        <f>SUMIF(Estado!$A$9:$A$368,$B24,Estado!$O$9:$O$368)</f>
        <v>116441395.67</v>
      </c>
      <c r="L24" s="51">
        <f t="shared" si="1"/>
        <v>0.94277762984739177</v>
      </c>
      <c r="M24" s="51">
        <f t="shared" si="2"/>
        <v>5.7222370152608164E-2</v>
      </c>
    </row>
    <row r="25" spans="1:13" s="24" customFormat="1" ht="16.5" x14ac:dyDescent="0.25">
      <c r="A25" s="110"/>
      <c r="B25" s="107" t="str">
        <f>+Estado!A58</f>
        <v>E-00505</v>
      </c>
      <c r="C25" s="105" t="str">
        <f>IFERROR(VLOOKUP(B25,Estado!$A$9:$B$505,2,FALSE),0)</f>
        <v>CONT.PAT.A.F.A.EPRIV</v>
      </c>
      <c r="D25" s="16">
        <f>SUMIF(Estado!$A$9:$A$368,$B25,Estado!$C$9:$C$368)</f>
        <v>110359000</v>
      </c>
      <c r="E25" s="16">
        <f>SUMIF(Estado!$A$9:$A$368,$B25,Estado!$D$9:$D$368)</f>
        <v>110359000</v>
      </c>
      <c r="F25" s="16">
        <f>SUMIF(Estado!$A$9:$A$368,$B25,Estado!$E$9:$E$368)</f>
        <v>0</v>
      </c>
      <c r="G25" s="16">
        <f>SUMIF(Estado!$A$9:$A$368,$B25,Estado!$G$9:$G$368)</f>
        <v>0</v>
      </c>
      <c r="H25" s="16">
        <f>SUMIF(Estado!$A$9:$A$368,$B25,Estado!$I$9:$I$368)</f>
        <v>0</v>
      </c>
      <c r="I25" s="16">
        <f>SUMIF(Estado!$A$9:$A$368,$B25,Estado!$K$9:$K$368)</f>
        <v>93848712.230000004</v>
      </c>
      <c r="J25" s="16">
        <f t="shared" si="3"/>
        <v>93848712.230000004</v>
      </c>
      <c r="K25" s="16">
        <f>SUMIF(Estado!$A$9:$A$368,$B25,Estado!$O$9:$O$368)</f>
        <v>16510287.77</v>
      </c>
      <c r="L25" s="51">
        <f t="shared" si="1"/>
        <v>0.85039473201098237</v>
      </c>
      <c r="M25" s="51">
        <f t="shared" si="2"/>
        <v>0.14960526798901766</v>
      </c>
    </row>
    <row r="26" spans="1:13" s="24" customFormat="1" ht="16.5" x14ac:dyDescent="0.25">
      <c r="A26" s="110"/>
      <c r="B26" s="107" t="str">
        <f>+Estado!A60</f>
        <v>E-099</v>
      </c>
      <c r="C26" s="105" t="str">
        <f>IFERROR(VLOOKUP(B26,Estado!$A$9:$B$505,2,FALSE),0)</f>
        <v>REMUNERACIONES DIVER</v>
      </c>
      <c r="D26" s="16">
        <f>SUMIF(Estado!$A$9:$A$368,$B26,Estado!$C$9:$C$368)</f>
        <v>300000</v>
      </c>
      <c r="E26" s="16">
        <f>SUMIF(Estado!$A$9:$A$368,$B26,Estado!$D$9:$D$368)</f>
        <v>300000</v>
      </c>
      <c r="F26" s="16">
        <f>SUMIF(Estado!$A$9:$A$368,$B26,Estado!$E$9:$E$368)</f>
        <v>0</v>
      </c>
      <c r="G26" s="16">
        <f>SUMIF(Estado!$A$9:$A$368,$B26,Estado!$G$9:$G$368)</f>
        <v>0</v>
      </c>
      <c r="H26" s="16">
        <f>SUMIF(Estado!$A$9:$A$368,$B26,Estado!$I$9:$I$368)</f>
        <v>0</v>
      </c>
      <c r="I26" s="16">
        <f>SUMIF(Estado!$A$9:$A$368,$B26,Estado!$K$9:$K$368)</f>
        <v>300000</v>
      </c>
      <c r="J26" s="16">
        <f t="shared" si="3"/>
        <v>300000</v>
      </c>
      <c r="K26" s="16">
        <f>SUMIF(Estado!$A$9:$A$368,$B26,Estado!$O$9:$O$368)</f>
        <v>0</v>
      </c>
      <c r="L26" s="51">
        <f t="shared" si="1"/>
        <v>1</v>
      </c>
      <c r="M26" s="51">
        <f t="shared" si="2"/>
        <v>0</v>
      </c>
    </row>
    <row r="27" spans="1:13" s="24" customFormat="1" ht="16.5" x14ac:dyDescent="0.25">
      <c r="A27" s="110"/>
      <c r="B27" s="107" t="str">
        <f>+Estado!A61</f>
        <v>E-09901</v>
      </c>
      <c r="C27" s="105" t="str">
        <f>IFERROR(VLOOKUP(B27,Estado!$A$9:$B$505,2,FALSE),0)</f>
        <v>GASTOS REPRES.PERS.</v>
      </c>
      <c r="D27" s="16">
        <f>SUMIF(Estado!$A$9:$A$368,$B27,Estado!$C$9:$C$368)</f>
        <v>300000</v>
      </c>
      <c r="E27" s="16">
        <f>SUMIF(Estado!$A$9:$A$368,$B27,Estado!$D$9:$D$368)</f>
        <v>300000</v>
      </c>
      <c r="F27" s="16">
        <f>SUMIF(Estado!$A$9:$A$368,$B27,Estado!$E$9:$E$368)</f>
        <v>0</v>
      </c>
      <c r="G27" s="16">
        <f>SUMIF(Estado!$A$9:$A$368,$B27,Estado!$G$9:$G$368)</f>
        <v>0</v>
      </c>
      <c r="H27" s="16">
        <f>SUMIF(Estado!$A$9:$A$368,$B27,Estado!$I$9:$I$368)</f>
        <v>0</v>
      </c>
      <c r="I27" s="16">
        <f>SUMIF(Estado!$A$9:$A$368,$B27,Estado!$K$9:$K$368)</f>
        <v>300000</v>
      </c>
      <c r="J27" s="16">
        <f t="shared" si="3"/>
        <v>300000</v>
      </c>
      <c r="K27" s="16">
        <f>SUMIF(Estado!$A$9:$A$368,$B27,Estado!$O$9:$O$368)</f>
        <v>0</v>
      </c>
      <c r="L27" s="51">
        <f t="shared" si="1"/>
        <v>1</v>
      </c>
      <c r="M27" s="51">
        <f t="shared" si="2"/>
        <v>0</v>
      </c>
    </row>
    <row r="28" spans="1:13" s="24" customFormat="1" ht="17.25" x14ac:dyDescent="0.25">
      <c r="A28" s="110"/>
      <c r="B28" s="109" t="str">
        <f>+Estado!A62</f>
        <v>E-1</v>
      </c>
      <c r="C28" s="106" t="str">
        <f>IFERROR(VLOOKUP(B28,Estado!$A$9:$B$505,2,FALSE),0)</f>
        <v>SERVICIOS</v>
      </c>
      <c r="D28" s="22">
        <f>+D29+D35+D41+D48+D56+D61+D64+D68+D76+D78</f>
        <v>11993820926</v>
      </c>
      <c r="E28" s="22">
        <f t="shared" ref="E28:K28" si="5">+E29+E35+E41+E48+E56+E61+E64+E68+E76+E78</f>
        <v>11993820926</v>
      </c>
      <c r="F28" s="22">
        <f t="shared" si="5"/>
        <v>0</v>
      </c>
      <c r="G28" s="22">
        <f t="shared" si="5"/>
        <v>1951749900.2800004</v>
      </c>
      <c r="H28" s="22">
        <f t="shared" si="5"/>
        <v>0</v>
      </c>
      <c r="I28" s="22">
        <f t="shared" si="5"/>
        <v>8936854270.1400013</v>
      </c>
      <c r="J28" s="22">
        <f t="shared" si="5"/>
        <v>10888604170.42</v>
      </c>
      <c r="K28" s="22">
        <f t="shared" si="5"/>
        <v>1105216755.5799999</v>
      </c>
      <c r="L28" s="68">
        <f t="shared" si="1"/>
        <v>0.90785115415687689</v>
      </c>
      <c r="M28" s="68">
        <f t="shared" si="2"/>
        <v>9.2148845843123259E-2</v>
      </c>
    </row>
    <row r="29" spans="1:13" s="24" customFormat="1" ht="16.5" x14ac:dyDescent="0.25">
      <c r="A29" s="110"/>
      <c r="B29" s="107" t="str">
        <f>+Estado!A63</f>
        <v>E-101</v>
      </c>
      <c r="C29" s="105" t="str">
        <f>IFERROR(VLOOKUP(B29,Estado!$A$9:$B$505,2,FALSE),0)</f>
        <v>ALQUILERES</v>
      </c>
      <c r="D29" s="16">
        <f>SUMIF(Estado!$A$9:$A$368,$B29,Estado!$C$9:$C$368)</f>
        <v>3151209001</v>
      </c>
      <c r="E29" s="16">
        <f>SUMIF(Estado!$A$9:$A$368,$B29,Estado!$D$9:$D$368)</f>
        <v>3151209001</v>
      </c>
      <c r="F29" s="16">
        <f>SUMIF(Estado!$A$9:$A$368,$B29,Estado!$E$9:$E$368)</f>
        <v>0</v>
      </c>
      <c r="G29" s="16">
        <f>SUMIF(Estado!$A$9:$A$368,$B29,Estado!$G$9:$G$368)</f>
        <v>655026935.28000009</v>
      </c>
      <c r="H29" s="16">
        <f>SUMIF(Estado!$A$9:$A$368,$B29,Estado!$I$9:$I$368)</f>
        <v>0</v>
      </c>
      <c r="I29" s="16">
        <f>SUMIF(Estado!$A$9:$A$368,$B29,Estado!$K$9:$K$368)</f>
        <v>2393545301.71</v>
      </c>
      <c r="J29" s="16">
        <f t="shared" si="3"/>
        <v>3048572236.9900002</v>
      </c>
      <c r="K29" s="16">
        <f>SUMIF(Estado!$A$9:$A$368,$B29,Estado!$O$9:$O$368)</f>
        <v>102636764.01000001</v>
      </c>
      <c r="L29" s="51">
        <f t="shared" si="1"/>
        <v>0.96742940123062948</v>
      </c>
      <c r="M29" s="51">
        <f t="shared" si="2"/>
        <v>3.2570598769370553E-2</v>
      </c>
    </row>
    <row r="30" spans="1:13" s="24" customFormat="1" ht="16.5" x14ac:dyDescent="0.25">
      <c r="A30" s="110"/>
      <c r="B30" s="107" t="str">
        <f>+Estado!A64</f>
        <v>E-10101</v>
      </c>
      <c r="C30" s="105" t="str">
        <f>IFERROR(VLOOKUP(B30,Estado!$A$9:$B$505,2,FALSE),0)</f>
        <v>ALQ EDIF, LOC.Y TERR</v>
      </c>
      <c r="D30" s="16">
        <f>SUMIF(Estado!$A$9:$A$368,$B30,Estado!$C$9:$C$368)</f>
        <v>662067000</v>
      </c>
      <c r="E30" s="16">
        <f>SUMIF(Estado!$A$9:$A$368,$B30,Estado!$D$9:$D$368)</f>
        <v>662067000</v>
      </c>
      <c r="F30" s="16">
        <f>SUMIF(Estado!$A$9:$A$368,$B30,Estado!$E$9:$E$368)</f>
        <v>0</v>
      </c>
      <c r="G30" s="16">
        <f>SUMIF(Estado!$A$9:$A$368,$B30,Estado!$G$9:$G$368)</f>
        <v>5191077.55</v>
      </c>
      <c r="H30" s="16">
        <f>SUMIF(Estado!$A$9:$A$368,$B30,Estado!$I$9:$I$368)</f>
        <v>0</v>
      </c>
      <c r="I30" s="16">
        <f>SUMIF(Estado!$A$9:$A$368,$B30,Estado!$K$9:$K$368)</f>
        <v>590704291.43000007</v>
      </c>
      <c r="J30" s="16">
        <f t="shared" si="3"/>
        <v>595895368.98000002</v>
      </c>
      <c r="K30" s="16">
        <f>SUMIF(Estado!$A$9:$A$368,$B30,Estado!$O$9:$O$368)</f>
        <v>66171631.019999996</v>
      </c>
      <c r="L30" s="51">
        <f t="shared" si="1"/>
        <v>0.90005296892912656</v>
      </c>
      <c r="M30" s="51">
        <f t="shared" si="2"/>
        <v>9.9947031070873479E-2</v>
      </c>
    </row>
    <row r="31" spans="1:13" s="24" customFormat="1" ht="16.5" x14ac:dyDescent="0.25">
      <c r="A31" s="110"/>
      <c r="B31" s="107" t="str">
        <f>+Estado!A65</f>
        <v>E-10102</v>
      </c>
      <c r="C31" s="105" t="str">
        <f>IFERROR(VLOOKUP(B31,Estado!$A$9:$B$505,2,FALSE),0)</f>
        <v>ALQ DE MAQ, EQ Y MOB</v>
      </c>
      <c r="D31" s="16">
        <f>SUMIF(Estado!$A$9:$A$368,$B31,Estado!$C$9:$C$368)</f>
        <v>9024000</v>
      </c>
      <c r="E31" s="16">
        <f>SUMIF(Estado!$A$9:$A$368,$B31,Estado!$D$9:$D$368)</f>
        <v>9024000</v>
      </c>
      <c r="F31" s="16">
        <f>SUMIF(Estado!$A$9:$A$368,$B31,Estado!$E$9:$E$368)</f>
        <v>0</v>
      </c>
      <c r="G31" s="16">
        <f>SUMIF(Estado!$A$9:$A$368,$B31,Estado!$G$9:$G$368)</f>
        <v>0</v>
      </c>
      <c r="H31" s="16">
        <f>SUMIF(Estado!$A$9:$A$368,$B31,Estado!$I$9:$I$368)</f>
        <v>0</v>
      </c>
      <c r="I31" s="16">
        <f>SUMIF(Estado!$A$9:$A$368,$B31,Estado!$K$9:$K$368)</f>
        <v>3626284.12</v>
      </c>
      <c r="J31" s="16">
        <f t="shared" si="3"/>
        <v>3626284.12</v>
      </c>
      <c r="K31" s="16">
        <f>SUMIF(Estado!$A$9:$A$368,$B31,Estado!$O$9:$O$368)</f>
        <v>5397715.8799999999</v>
      </c>
      <c r="L31" s="51">
        <f t="shared" si="1"/>
        <v>0.40184886081560284</v>
      </c>
      <c r="M31" s="51">
        <f t="shared" si="2"/>
        <v>0.59815113918439711</v>
      </c>
    </row>
    <row r="32" spans="1:13" s="24" customFormat="1" ht="16.5" x14ac:dyDescent="0.25">
      <c r="A32" s="110"/>
      <c r="B32" s="107" t="str">
        <f>+Estado!A66</f>
        <v>E-10103</v>
      </c>
      <c r="C32" s="105" t="str">
        <f>IFERROR(VLOOKUP(B32,Estado!$A$9:$B$505,2,FALSE),0)</f>
        <v>ALQ. EQ. DE COMPUTO</v>
      </c>
      <c r="D32" s="16">
        <f>SUMIF(Estado!$A$9:$A$368,$B32,Estado!$C$9:$C$368)</f>
        <v>1016882950</v>
      </c>
      <c r="E32" s="16">
        <f>SUMIF(Estado!$A$9:$A$368,$B32,Estado!$D$9:$D$368)</f>
        <v>1016882950</v>
      </c>
      <c r="F32" s="16">
        <f>SUMIF(Estado!$A$9:$A$368,$B32,Estado!$E$9:$E$368)</f>
        <v>0</v>
      </c>
      <c r="G32" s="16">
        <f>SUMIF(Estado!$A$9:$A$368,$B32,Estado!$G$9:$G$368)</f>
        <v>88650108.360000014</v>
      </c>
      <c r="H32" s="16">
        <f>SUMIF(Estado!$A$9:$A$368,$B32,Estado!$I$9:$I$368)</f>
        <v>0</v>
      </c>
      <c r="I32" s="16">
        <f>SUMIF(Estado!$A$9:$A$368,$B32,Estado!$K$9:$K$368)</f>
        <v>904793265.87</v>
      </c>
      <c r="J32" s="16">
        <f t="shared" si="3"/>
        <v>993443374.23000002</v>
      </c>
      <c r="K32" s="16">
        <f>SUMIF(Estado!$A$9:$A$368,$B32,Estado!$O$9:$O$368)</f>
        <v>23439575.77</v>
      </c>
      <c r="L32" s="51">
        <f t="shared" si="1"/>
        <v>0.97694958326324577</v>
      </c>
      <c r="M32" s="51">
        <f t="shared" si="2"/>
        <v>2.3050416736754214E-2</v>
      </c>
    </row>
    <row r="33" spans="1:13" s="24" customFormat="1" ht="16.5" x14ac:dyDescent="0.25">
      <c r="A33" s="110"/>
      <c r="B33" s="107" t="str">
        <f>+Estado!A67</f>
        <v>E-10104</v>
      </c>
      <c r="C33" s="105" t="str">
        <f>IFERROR(VLOOKUP(B33,Estado!$A$9:$B$505,2,FALSE),0)</f>
        <v>ALQ Y DERECH P.TELEC</v>
      </c>
      <c r="D33" s="16">
        <f>SUMIF(Estado!$A$9:$A$368,$B33,Estado!$C$9:$C$368)</f>
        <v>20800008</v>
      </c>
      <c r="E33" s="16">
        <f>SUMIF(Estado!$A$9:$A$368,$B33,Estado!$D$9:$D$368)</f>
        <v>20800008</v>
      </c>
      <c r="F33" s="16">
        <f>SUMIF(Estado!$A$9:$A$368,$B33,Estado!$E$9:$E$368)</f>
        <v>0</v>
      </c>
      <c r="G33" s="16">
        <f>SUMIF(Estado!$A$9:$A$368,$B33,Estado!$G$9:$G$368)</f>
        <v>9153482.5700000003</v>
      </c>
      <c r="H33" s="16">
        <f>SUMIF(Estado!$A$9:$A$368,$B33,Estado!$I$9:$I$368)</f>
        <v>0</v>
      </c>
      <c r="I33" s="16">
        <f>SUMIF(Estado!$A$9:$A$368,$B33,Estado!$K$9:$K$368)</f>
        <v>9609438.6799999997</v>
      </c>
      <c r="J33" s="16">
        <f t="shared" si="3"/>
        <v>18762921.25</v>
      </c>
      <c r="K33" s="16">
        <f>SUMIF(Estado!$A$9:$A$368,$B33,Estado!$O$9:$O$368)</f>
        <v>2037086.75</v>
      </c>
      <c r="L33" s="51">
        <f t="shared" si="1"/>
        <v>0.90206317468724051</v>
      </c>
      <c r="M33" s="51">
        <f t="shared" si="2"/>
        <v>9.793682531275949E-2</v>
      </c>
    </row>
    <row r="34" spans="1:13" s="24" customFormat="1" ht="16.5" x14ac:dyDescent="0.25">
      <c r="A34" s="110"/>
      <c r="B34" s="107" t="str">
        <f>+Estado!A68</f>
        <v>E-10199</v>
      </c>
      <c r="C34" s="105" t="str">
        <f>IFERROR(VLOOKUP(B34,Estado!$A$9:$B$505,2,FALSE),0)</f>
        <v>OTROS ALQUILERES</v>
      </c>
      <c r="D34" s="16">
        <f>SUMIF(Estado!$A$9:$A$368,$B34,Estado!$C$9:$C$368)</f>
        <v>1442435043</v>
      </c>
      <c r="E34" s="16">
        <f>SUMIF(Estado!$A$9:$A$368,$B34,Estado!$D$9:$D$368)</f>
        <v>1442435043</v>
      </c>
      <c r="F34" s="16">
        <f>SUMIF(Estado!$A$9:$A$368,$B34,Estado!$E$9:$E$368)</f>
        <v>0</v>
      </c>
      <c r="G34" s="16">
        <f>SUMIF(Estado!$A$9:$A$368,$B34,Estado!$G$9:$G$368)</f>
        <v>552032266.79999995</v>
      </c>
      <c r="H34" s="16">
        <f>SUMIF(Estado!$A$9:$A$368,$B34,Estado!$I$9:$I$368)</f>
        <v>0</v>
      </c>
      <c r="I34" s="16">
        <f>SUMIF(Estado!$A$9:$A$368,$B34,Estado!$K$9:$K$368)</f>
        <v>884812021.61000001</v>
      </c>
      <c r="J34" s="16">
        <f t="shared" si="3"/>
        <v>1436844288.4099998</v>
      </c>
      <c r="K34" s="16">
        <f>SUMIF(Estado!$A$9:$A$368,$B34,Estado!$O$9:$O$368)</f>
        <v>5590754.5899999999</v>
      </c>
      <c r="L34" s="51">
        <f t="shared" si="1"/>
        <v>0.9961240857138548</v>
      </c>
      <c r="M34" s="51">
        <f t="shared" si="2"/>
        <v>3.8759142861450849E-3</v>
      </c>
    </row>
    <row r="35" spans="1:13" s="24" customFormat="1" ht="16.5" x14ac:dyDescent="0.25">
      <c r="A35" s="110"/>
      <c r="B35" s="107" t="str">
        <f>+Estado!A69</f>
        <v>E-102</v>
      </c>
      <c r="C35" s="105" t="str">
        <f>IFERROR(VLOOKUP(B35,Estado!$A$9:$B$505,2,FALSE),0)</f>
        <v>SERVICIOS BÁSICOS</v>
      </c>
      <c r="D35" s="16">
        <f>SUMIF(Estado!$A$9:$A$368,$B35,Estado!$C$9:$C$368)</f>
        <v>5319751604</v>
      </c>
      <c r="E35" s="16">
        <f>SUMIF(Estado!$A$9:$A$368,$B35,Estado!$D$9:$D$368)</f>
        <v>5319751604</v>
      </c>
      <c r="F35" s="16">
        <f>SUMIF(Estado!$A$9:$A$368,$B35,Estado!$E$9:$E$368)</f>
        <v>0</v>
      </c>
      <c r="G35" s="16">
        <f>SUMIF(Estado!$A$9:$A$368,$B35,Estado!$G$9:$G$368)</f>
        <v>697506977.59000003</v>
      </c>
      <c r="H35" s="16">
        <f>SUMIF(Estado!$A$9:$A$368,$B35,Estado!$I$9:$I$368)</f>
        <v>0</v>
      </c>
      <c r="I35" s="16">
        <f>SUMIF(Estado!$A$9:$A$368,$B35,Estado!$K$9:$K$368)</f>
        <v>4183750740.8099999</v>
      </c>
      <c r="J35" s="16">
        <f t="shared" si="3"/>
        <v>4881257718.3999996</v>
      </c>
      <c r="K35" s="16">
        <f>SUMIF(Estado!$A$9:$A$368,$B35,Estado!$O$9:$O$368)</f>
        <v>438493885.59999996</v>
      </c>
      <c r="L35" s="51">
        <f t="shared" si="1"/>
        <v>0.9175724886721609</v>
      </c>
      <c r="M35" s="51">
        <f t="shared" si="2"/>
        <v>8.2427511327839056E-2</v>
      </c>
    </row>
    <row r="36" spans="1:13" s="24" customFormat="1" ht="16.5" x14ac:dyDescent="0.25">
      <c r="A36" s="110"/>
      <c r="B36" s="107" t="str">
        <f>+Estado!A70</f>
        <v>E-10201</v>
      </c>
      <c r="C36" s="105" t="str">
        <f>IFERROR(VLOOKUP(B36,Estado!$A$9:$B$505,2,FALSE),0)</f>
        <v>SERV.AGUA Y ALCANT.</v>
      </c>
      <c r="D36" s="16">
        <f>SUMIF(Estado!$A$9:$A$368,$B36,Estado!$C$9:$C$368)</f>
        <v>3109838604</v>
      </c>
      <c r="E36" s="16">
        <f>SUMIF(Estado!$A$9:$A$368,$B36,Estado!$D$9:$D$368)</f>
        <v>3109838604</v>
      </c>
      <c r="F36" s="16">
        <f>SUMIF(Estado!$A$9:$A$368,$B36,Estado!$E$9:$E$368)</f>
        <v>0</v>
      </c>
      <c r="G36" s="16">
        <f>SUMIF(Estado!$A$9:$A$368,$B36,Estado!$G$9:$G$368)</f>
        <v>486522453.52999997</v>
      </c>
      <c r="H36" s="16">
        <f>SUMIF(Estado!$A$9:$A$368,$B36,Estado!$I$9:$I$368)</f>
        <v>0</v>
      </c>
      <c r="I36" s="16">
        <f>SUMIF(Estado!$A$9:$A$368,$B36,Estado!$K$9:$K$368)</f>
        <v>2318279995.3000002</v>
      </c>
      <c r="J36" s="16">
        <f t="shared" si="3"/>
        <v>2804802448.8299999</v>
      </c>
      <c r="K36" s="16">
        <f>SUMIF(Estado!$A$9:$A$368,$B36,Estado!$O$9:$O$368)</f>
        <v>305036155.17000002</v>
      </c>
      <c r="L36" s="51">
        <f t="shared" si="1"/>
        <v>0.9019125446646491</v>
      </c>
      <c r="M36" s="51">
        <f t="shared" si="2"/>
        <v>9.8087455335350904E-2</v>
      </c>
    </row>
    <row r="37" spans="1:13" s="24" customFormat="1" ht="16.5" x14ac:dyDescent="0.25">
      <c r="A37" s="110"/>
      <c r="B37" s="107" t="str">
        <f>+Estado!A71</f>
        <v>E-10202</v>
      </c>
      <c r="C37" s="105" t="str">
        <f>IFERROR(VLOOKUP(B37,Estado!$A$9:$B$505,2,FALSE),0)</f>
        <v>SERV ENERGÍA ELÉCT</v>
      </c>
      <c r="D37" s="16">
        <f>SUMIF(Estado!$A$9:$A$368,$B37,Estado!$C$9:$C$368)</f>
        <v>1345859000</v>
      </c>
      <c r="E37" s="16">
        <f>SUMIF(Estado!$A$9:$A$368,$B37,Estado!$D$9:$D$368)</f>
        <v>1345859000</v>
      </c>
      <c r="F37" s="16">
        <f>SUMIF(Estado!$A$9:$A$368,$B37,Estado!$E$9:$E$368)</f>
        <v>0</v>
      </c>
      <c r="G37" s="16">
        <f>SUMIF(Estado!$A$9:$A$368,$B37,Estado!$G$9:$G$368)</f>
        <v>85083643.280000001</v>
      </c>
      <c r="H37" s="16">
        <f>SUMIF(Estado!$A$9:$A$368,$B37,Estado!$I$9:$I$368)</f>
        <v>0</v>
      </c>
      <c r="I37" s="16">
        <f>SUMIF(Estado!$A$9:$A$368,$B37,Estado!$K$9:$K$368)</f>
        <v>1203304967.49</v>
      </c>
      <c r="J37" s="16">
        <f t="shared" si="3"/>
        <v>1288388610.77</v>
      </c>
      <c r="K37" s="16">
        <f>SUMIF(Estado!$A$9:$A$368,$B37,Estado!$O$9:$O$368)</f>
        <v>57470389.229999997</v>
      </c>
      <c r="L37" s="51">
        <f t="shared" si="1"/>
        <v>0.95729835797806451</v>
      </c>
      <c r="M37" s="51">
        <f t="shared" si="2"/>
        <v>4.2701642021935431E-2</v>
      </c>
    </row>
    <row r="38" spans="1:13" s="24" customFormat="1" ht="16.5" x14ac:dyDescent="0.25">
      <c r="A38" s="110"/>
      <c r="B38" s="107" t="str">
        <f>+Estado!A72</f>
        <v>E-10203</v>
      </c>
      <c r="C38" s="105" t="str">
        <f>IFERROR(VLOOKUP(B38,Estado!$A$9:$B$505,2,FALSE),0)</f>
        <v>SERVICIO DE CORREO</v>
      </c>
      <c r="D38" s="16">
        <f>SUMIF(Estado!$A$9:$A$368,$B38,Estado!$C$9:$C$368)</f>
        <v>21314000</v>
      </c>
      <c r="E38" s="16">
        <f>SUMIF(Estado!$A$9:$A$368,$B38,Estado!$D$9:$D$368)</f>
        <v>21314000</v>
      </c>
      <c r="F38" s="16">
        <f>SUMIF(Estado!$A$9:$A$368,$B38,Estado!$E$9:$E$368)</f>
        <v>0</v>
      </c>
      <c r="G38" s="16">
        <f>SUMIF(Estado!$A$9:$A$368,$B38,Estado!$G$9:$G$368)</f>
        <v>4476220</v>
      </c>
      <c r="H38" s="16">
        <f>SUMIF(Estado!$A$9:$A$368,$B38,Estado!$I$9:$I$368)</f>
        <v>0</v>
      </c>
      <c r="I38" s="16">
        <f>SUMIF(Estado!$A$9:$A$368,$B38,Estado!$K$9:$K$368)</f>
        <v>9959965</v>
      </c>
      <c r="J38" s="16">
        <f t="shared" si="3"/>
        <v>14436185</v>
      </c>
      <c r="K38" s="16">
        <f>SUMIF(Estado!$A$9:$A$368,$B38,Estado!$O$9:$O$368)</f>
        <v>6877815</v>
      </c>
      <c r="L38" s="51">
        <f t="shared" si="1"/>
        <v>0.67730998404804355</v>
      </c>
      <c r="M38" s="51">
        <f t="shared" si="2"/>
        <v>0.32269001595195645</v>
      </c>
    </row>
    <row r="39" spans="1:13" s="24" customFormat="1" ht="16.5" x14ac:dyDescent="0.25">
      <c r="A39" s="110"/>
      <c r="B39" s="107" t="str">
        <f>+Estado!A73</f>
        <v>E-10204</v>
      </c>
      <c r="C39" s="105" t="str">
        <f>IFERROR(VLOOKUP(B39,Estado!$A$9:$B$505,2,FALSE),0)</f>
        <v>SERV.TELECOMUNIC.</v>
      </c>
      <c r="D39" s="16">
        <f>SUMIF(Estado!$A$9:$A$368,$B39,Estado!$C$9:$C$368)</f>
        <v>651366000</v>
      </c>
      <c r="E39" s="16">
        <f>SUMIF(Estado!$A$9:$A$368,$B39,Estado!$D$9:$D$368)</f>
        <v>651366000</v>
      </c>
      <c r="F39" s="16">
        <f>SUMIF(Estado!$A$9:$A$368,$B39,Estado!$E$9:$E$368)</f>
        <v>0</v>
      </c>
      <c r="G39" s="16">
        <f>SUMIF(Estado!$A$9:$A$368,$B39,Estado!$G$9:$G$368)</f>
        <v>83259956.030000001</v>
      </c>
      <c r="H39" s="16">
        <f>SUMIF(Estado!$A$9:$A$368,$B39,Estado!$I$9:$I$368)</f>
        <v>0</v>
      </c>
      <c r="I39" s="16">
        <f>SUMIF(Estado!$A$9:$A$368,$B39,Estado!$K$9:$K$368)</f>
        <v>559133913.37</v>
      </c>
      <c r="J39" s="16">
        <f t="shared" si="3"/>
        <v>642393869.39999998</v>
      </c>
      <c r="K39" s="16">
        <f>SUMIF(Estado!$A$9:$A$368,$B39,Estado!$O$9:$O$368)</f>
        <v>8972130.5999999996</v>
      </c>
      <c r="L39" s="51">
        <f t="shared" si="1"/>
        <v>0.98622566943930134</v>
      </c>
      <c r="M39" s="51">
        <f t="shared" si="2"/>
        <v>1.3774330560698593E-2</v>
      </c>
    </row>
    <row r="40" spans="1:13" s="24" customFormat="1" ht="16.5" x14ac:dyDescent="0.25">
      <c r="A40" s="110"/>
      <c r="B40" s="107" t="str">
        <f>+Estado!A74</f>
        <v>E-10299</v>
      </c>
      <c r="C40" s="105" t="str">
        <f>IFERROR(VLOOKUP(B40,Estado!$A$9:$B$505,2,FALSE),0)</f>
        <v>OTROS SERV.BÁSICOS</v>
      </c>
      <c r="D40" s="16">
        <f>SUMIF(Estado!$A$9:$A$368,$B40,Estado!$C$9:$C$368)</f>
        <v>191374000</v>
      </c>
      <c r="E40" s="16">
        <f>SUMIF(Estado!$A$9:$A$368,$B40,Estado!$D$9:$D$368)</f>
        <v>191374000</v>
      </c>
      <c r="F40" s="16">
        <f>SUMIF(Estado!$A$9:$A$368,$B40,Estado!$E$9:$E$368)</f>
        <v>0</v>
      </c>
      <c r="G40" s="16">
        <f>SUMIF(Estado!$A$9:$A$368,$B40,Estado!$G$9:$G$368)</f>
        <v>38164704.75</v>
      </c>
      <c r="H40" s="16">
        <f>SUMIF(Estado!$A$9:$A$368,$B40,Estado!$I$9:$I$368)</f>
        <v>0</v>
      </c>
      <c r="I40" s="16">
        <f>SUMIF(Estado!$A$9:$A$368,$B40,Estado!$K$9:$K$368)</f>
        <v>93071899.650000006</v>
      </c>
      <c r="J40" s="16">
        <f t="shared" si="3"/>
        <v>131236604.40000001</v>
      </c>
      <c r="K40" s="16">
        <f>SUMIF(Estado!$A$9:$A$368,$B40,Estado!$O$9:$O$368)</f>
        <v>60137395.600000001</v>
      </c>
      <c r="L40" s="51">
        <f t="shared" si="1"/>
        <v>0.68575984407495272</v>
      </c>
      <c r="M40" s="51">
        <f t="shared" si="2"/>
        <v>0.31424015592504728</v>
      </c>
    </row>
    <row r="41" spans="1:13" s="24" customFormat="1" ht="16.5" x14ac:dyDescent="0.25">
      <c r="A41" s="110"/>
      <c r="B41" s="107" t="str">
        <f>+Estado!A75</f>
        <v>E-103</v>
      </c>
      <c r="C41" s="105" t="str">
        <f>IFERROR(VLOOKUP(B41,Estado!$A$9:$B$505,2,FALSE),0)</f>
        <v>SERV COMERC Y FINANC</v>
      </c>
      <c r="D41" s="16">
        <f>SUMIF(Estado!$A$9:$A$368,$B41,Estado!$C$9:$C$368)</f>
        <v>37423675</v>
      </c>
      <c r="E41" s="16">
        <f>SUMIF(Estado!$A$9:$A$368,$B41,Estado!$D$9:$D$368)</f>
        <v>37423675</v>
      </c>
      <c r="F41" s="16">
        <f>SUMIF(Estado!$A$9:$A$368,$B41,Estado!$E$9:$E$368)</f>
        <v>0</v>
      </c>
      <c r="G41" s="16">
        <f>SUMIF(Estado!$A$9:$A$368,$B41,Estado!$G$9:$G$368)</f>
        <v>11286840.629999999</v>
      </c>
      <c r="H41" s="16">
        <f>SUMIF(Estado!$A$9:$A$368,$B41,Estado!$I$9:$I$368)</f>
        <v>0</v>
      </c>
      <c r="I41" s="16">
        <f>SUMIF(Estado!$A$9:$A$368,$B41,Estado!$K$9:$K$368)</f>
        <v>16268483.379999999</v>
      </c>
      <c r="J41" s="16">
        <f t="shared" si="3"/>
        <v>27555324.009999998</v>
      </c>
      <c r="K41" s="16">
        <f>SUMIF(Estado!$A$9:$A$368,$B41,Estado!$O$9:$O$368)</f>
        <v>9868350.9900000002</v>
      </c>
      <c r="L41" s="51">
        <f t="shared" si="1"/>
        <v>0.73630727099890636</v>
      </c>
      <c r="M41" s="51">
        <f t="shared" si="2"/>
        <v>0.26369272900109358</v>
      </c>
    </row>
    <row r="42" spans="1:13" s="24" customFormat="1" ht="16.5" x14ac:dyDescent="0.25">
      <c r="A42" s="110"/>
      <c r="B42" s="107" t="str">
        <f>+Estado!A76</f>
        <v>E-10301</v>
      </c>
      <c r="C42" s="105" t="str">
        <f>IFERROR(VLOOKUP(B42,Estado!$A$9:$B$505,2,FALSE),0)</f>
        <v>INFORMACIÓN</v>
      </c>
      <c r="D42" s="16">
        <f>SUMIF(Estado!$A$9:$A$368,$B42,Estado!$C$9:$C$368)</f>
        <v>11100300</v>
      </c>
      <c r="E42" s="16">
        <f>SUMIF(Estado!$A$9:$A$368,$B42,Estado!$D$9:$D$368)</f>
        <v>11100300</v>
      </c>
      <c r="F42" s="16">
        <f>SUMIF(Estado!$A$9:$A$368,$B42,Estado!$E$9:$E$368)</f>
        <v>0</v>
      </c>
      <c r="G42" s="16">
        <f>SUMIF(Estado!$A$9:$A$368,$B42,Estado!$G$9:$G$368)</f>
        <v>4192619</v>
      </c>
      <c r="H42" s="16">
        <f>SUMIF(Estado!$A$9:$A$368,$B42,Estado!$I$9:$I$368)</f>
        <v>0</v>
      </c>
      <c r="I42" s="16">
        <f>SUMIF(Estado!$A$9:$A$368,$B42,Estado!$K$9:$K$368)</f>
        <v>5025420</v>
      </c>
      <c r="J42" s="16">
        <f t="shared" si="3"/>
        <v>9218039</v>
      </c>
      <c r="K42" s="16">
        <f>SUMIF(Estado!$A$9:$A$368,$B42,Estado!$O$9:$O$368)</f>
        <v>1882261</v>
      </c>
      <c r="L42" s="51">
        <f t="shared" si="1"/>
        <v>0.83043151986883235</v>
      </c>
      <c r="M42" s="51">
        <f t="shared" si="2"/>
        <v>0.16956848013116763</v>
      </c>
    </row>
    <row r="43" spans="1:13" s="24" customFormat="1" ht="16.5" x14ac:dyDescent="0.25">
      <c r="A43" s="110"/>
      <c r="B43" s="107" t="str">
        <f>+Estado!A77</f>
        <v>E-10302</v>
      </c>
      <c r="C43" s="105" t="str">
        <f>IFERROR(VLOOKUP(B43,Estado!$A$9:$B$505,2,FALSE),0)</f>
        <v>PUBLICIDAD Y PROPAG.</v>
      </c>
      <c r="D43" s="16">
        <f>SUMIF(Estado!$A$9:$A$368,$B43,Estado!$C$9:$C$368)</f>
        <v>532875</v>
      </c>
      <c r="E43" s="16">
        <f>SUMIF(Estado!$A$9:$A$368,$B43,Estado!$D$9:$D$368)</f>
        <v>532875</v>
      </c>
      <c r="F43" s="16">
        <f>SUMIF(Estado!$A$9:$A$368,$B43,Estado!$E$9:$E$368)</f>
        <v>0</v>
      </c>
      <c r="G43" s="16">
        <f>SUMIF(Estado!$A$9:$A$368,$B43,Estado!$G$9:$G$368)</f>
        <v>0</v>
      </c>
      <c r="H43" s="16">
        <f>SUMIF(Estado!$A$9:$A$368,$B43,Estado!$I$9:$I$368)</f>
        <v>0</v>
      </c>
      <c r="I43" s="16">
        <f>SUMIF(Estado!$A$9:$A$368,$B43,Estado!$K$9:$K$368)</f>
        <v>374000</v>
      </c>
      <c r="J43" s="16">
        <f t="shared" si="3"/>
        <v>374000</v>
      </c>
      <c r="K43" s="16">
        <f>SUMIF(Estado!$A$9:$A$368,$B43,Estado!$O$9:$O$368)</f>
        <v>158875</v>
      </c>
      <c r="L43" s="51">
        <f t="shared" si="1"/>
        <v>0.70185315505512547</v>
      </c>
      <c r="M43" s="51">
        <f t="shared" si="2"/>
        <v>0.29814684494487448</v>
      </c>
    </row>
    <row r="44" spans="1:13" s="24" customFormat="1" ht="16.5" x14ac:dyDescent="0.25">
      <c r="A44" s="110"/>
      <c r="B44" s="107" t="str">
        <f>+Estado!A78</f>
        <v>E-10303</v>
      </c>
      <c r="C44" s="105" t="str">
        <f>IFERROR(VLOOKUP(B44,Estado!$A$9:$B$505,2,FALSE),0)</f>
        <v>IMP., ENCUAD Y OTROS</v>
      </c>
      <c r="D44" s="16">
        <f>SUMIF(Estado!$A$9:$A$368,$B44,Estado!$C$9:$C$368)</f>
        <v>15539000</v>
      </c>
      <c r="E44" s="16">
        <f>SUMIF(Estado!$A$9:$A$368,$B44,Estado!$D$9:$D$368)</f>
        <v>15539000</v>
      </c>
      <c r="F44" s="16">
        <f>SUMIF(Estado!$A$9:$A$368,$B44,Estado!$E$9:$E$368)</f>
        <v>0</v>
      </c>
      <c r="G44" s="16">
        <f>SUMIF(Estado!$A$9:$A$368,$B44,Estado!$G$9:$G$368)</f>
        <v>3811130</v>
      </c>
      <c r="H44" s="16">
        <f>SUMIF(Estado!$A$9:$A$368,$B44,Estado!$I$9:$I$368)</f>
        <v>0</v>
      </c>
      <c r="I44" s="16">
        <f>SUMIF(Estado!$A$9:$A$368,$B44,Estado!$K$9:$K$368)</f>
        <v>5289413</v>
      </c>
      <c r="J44" s="16">
        <f t="shared" si="3"/>
        <v>9100543</v>
      </c>
      <c r="K44" s="16">
        <f>SUMIF(Estado!$A$9:$A$368,$B44,Estado!$O$9:$O$368)</f>
        <v>6438457</v>
      </c>
      <c r="L44" s="51">
        <f t="shared" si="1"/>
        <v>0.58565821481433811</v>
      </c>
      <c r="M44" s="51">
        <f t="shared" si="2"/>
        <v>0.41434178518566189</v>
      </c>
    </row>
    <row r="45" spans="1:13" s="24" customFormat="1" ht="16.5" x14ac:dyDescent="0.25">
      <c r="A45" s="110"/>
      <c r="B45" s="107" t="str">
        <f>+Estado!A79</f>
        <v>E-10304</v>
      </c>
      <c r="C45" s="105" t="str">
        <f>IFERROR(VLOOKUP(B45,Estado!$A$9:$B$505,2,FALSE),0)</f>
        <v>TRANSPORTE DE BIENES</v>
      </c>
      <c r="D45" s="16">
        <f>SUMIF(Estado!$A$9:$A$368,$B45,Estado!$C$9:$C$368)</f>
        <v>550000</v>
      </c>
      <c r="E45" s="16">
        <f>SUMIF(Estado!$A$9:$A$368,$B45,Estado!$D$9:$D$368)</f>
        <v>550000</v>
      </c>
      <c r="F45" s="16">
        <f>SUMIF(Estado!$A$9:$A$368,$B45,Estado!$E$9:$E$368)</f>
        <v>0</v>
      </c>
      <c r="G45" s="16">
        <f>SUMIF(Estado!$A$9:$A$368,$B45,Estado!$G$9:$G$368)</f>
        <v>0</v>
      </c>
      <c r="H45" s="16">
        <f>SUMIF(Estado!$A$9:$A$368,$B45,Estado!$I$9:$I$368)</f>
        <v>0</v>
      </c>
      <c r="I45" s="16">
        <f>SUMIF(Estado!$A$9:$A$368,$B45,Estado!$K$9:$K$368)</f>
        <v>0</v>
      </c>
      <c r="J45" s="16">
        <f t="shared" si="3"/>
        <v>0</v>
      </c>
      <c r="K45" s="16">
        <f>SUMIF(Estado!$A$9:$A$368,$B45,Estado!$O$9:$O$368)</f>
        <v>550000</v>
      </c>
      <c r="L45" s="51">
        <f t="shared" si="1"/>
        <v>0</v>
      </c>
      <c r="M45" s="51">
        <f t="shared" si="2"/>
        <v>1</v>
      </c>
    </row>
    <row r="46" spans="1:13" s="24" customFormat="1" ht="16.5" x14ac:dyDescent="0.25">
      <c r="A46" s="110"/>
      <c r="B46" s="107" t="str">
        <f>+Estado!A80</f>
        <v>E-10306</v>
      </c>
      <c r="C46" s="105" t="str">
        <f>IFERROR(VLOOKUP(B46,Estado!$A$9:$B$505,2,FALSE),0)</f>
        <v>COM G.P.S.FIN Y COM.</v>
      </c>
      <c r="D46" s="16">
        <f>SUMIF(Estado!$A$9:$A$368,$B46,Estado!$C$9:$C$368)</f>
        <v>200000</v>
      </c>
      <c r="E46" s="16">
        <f>SUMIF(Estado!$A$9:$A$368,$B46,Estado!$D$9:$D$368)</f>
        <v>200000</v>
      </c>
      <c r="F46" s="16">
        <f>SUMIF(Estado!$A$9:$A$368,$B46,Estado!$E$9:$E$368)</f>
        <v>0</v>
      </c>
      <c r="G46" s="16">
        <f>SUMIF(Estado!$A$9:$A$368,$B46,Estado!$G$9:$G$368)</f>
        <v>7706.5</v>
      </c>
      <c r="H46" s="16">
        <f>SUMIF(Estado!$A$9:$A$368,$B46,Estado!$I$9:$I$368)</f>
        <v>0</v>
      </c>
      <c r="I46" s="16">
        <f>SUMIF(Estado!$A$9:$A$368,$B46,Estado!$K$9:$K$368)</f>
        <v>43259.5</v>
      </c>
      <c r="J46" s="16">
        <f t="shared" si="3"/>
        <v>50966</v>
      </c>
      <c r="K46" s="16">
        <f>SUMIF(Estado!$A$9:$A$368,$B46,Estado!$O$9:$O$368)</f>
        <v>149034</v>
      </c>
      <c r="L46" s="51">
        <f t="shared" si="1"/>
        <v>0.25483</v>
      </c>
      <c r="M46" s="51">
        <f t="shared" si="2"/>
        <v>0.74517</v>
      </c>
    </row>
    <row r="47" spans="1:13" s="24" customFormat="1" ht="16.5" x14ac:dyDescent="0.25">
      <c r="A47" s="110"/>
      <c r="B47" s="107" t="str">
        <f>+Estado!A81</f>
        <v>E-10307</v>
      </c>
      <c r="C47" s="105" t="str">
        <f>IFERROR(VLOOKUP(B47,Estado!$A$9:$B$505,2,FALSE),0)</f>
        <v>SERV TRANSF.ELEC.INF</v>
      </c>
      <c r="D47" s="16">
        <f>SUMIF(Estado!$A$9:$A$368,$B47,Estado!$C$9:$C$368)</f>
        <v>9501500</v>
      </c>
      <c r="E47" s="16">
        <f>SUMIF(Estado!$A$9:$A$368,$B47,Estado!$D$9:$D$368)</f>
        <v>9501500</v>
      </c>
      <c r="F47" s="16">
        <f>SUMIF(Estado!$A$9:$A$368,$B47,Estado!$E$9:$E$368)</f>
        <v>0</v>
      </c>
      <c r="G47" s="16">
        <f>SUMIF(Estado!$A$9:$A$368,$B47,Estado!$G$9:$G$368)</f>
        <v>3275385.13</v>
      </c>
      <c r="H47" s="16">
        <f>SUMIF(Estado!$A$9:$A$368,$B47,Estado!$I$9:$I$368)</f>
        <v>0</v>
      </c>
      <c r="I47" s="16">
        <f>SUMIF(Estado!$A$9:$A$368,$B47,Estado!$K$9:$K$368)</f>
        <v>5536390.8799999999</v>
      </c>
      <c r="J47" s="16">
        <f t="shared" si="3"/>
        <v>8811776.0099999998</v>
      </c>
      <c r="K47" s="16">
        <f>SUMIF(Estado!$A$9:$A$368,$B47,Estado!$O$9:$O$368)</f>
        <v>689723.99</v>
      </c>
      <c r="L47" s="51">
        <f t="shared" si="1"/>
        <v>0.92740893648371303</v>
      </c>
      <c r="M47" s="51">
        <f t="shared" si="2"/>
        <v>7.2591063516286899E-2</v>
      </c>
    </row>
    <row r="48" spans="1:13" s="24" customFormat="1" ht="16.5" x14ac:dyDescent="0.25">
      <c r="A48" s="110"/>
      <c r="B48" s="107" t="str">
        <f>+Estado!A82</f>
        <v>E-104</v>
      </c>
      <c r="C48" s="105" t="str">
        <f>IFERROR(VLOOKUP(B48,Estado!$A$9:$B$505,2,FALSE),0)</f>
        <v>SERV DE GEST Y APOYO</v>
      </c>
      <c r="D48" s="16">
        <f>SUMIF(Estado!$A$9:$A$368,$B48,Estado!$C$9:$C$368)</f>
        <v>675636277</v>
      </c>
      <c r="E48" s="16">
        <f>SUMIF(Estado!$A$9:$A$368,$B48,Estado!$D$9:$D$368)</f>
        <v>675636277</v>
      </c>
      <c r="F48" s="16">
        <f>SUMIF(Estado!$A$9:$A$368,$B48,Estado!$E$9:$E$368)</f>
        <v>0</v>
      </c>
      <c r="G48" s="16">
        <f>SUMIF(Estado!$A$9:$A$368,$B48,Estado!$G$9:$G$368)</f>
        <v>90943873.650000006</v>
      </c>
      <c r="H48" s="16">
        <f>SUMIF(Estado!$A$9:$A$368,$B48,Estado!$I$9:$I$368)</f>
        <v>0</v>
      </c>
      <c r="I48" s="16">
        <f>SUMIF(Estado!$A$9:$A$368,$B48,Estado!$K$9:$K$368)</f>
        <v>508342985.34000003</v>
      </c>
      <c r="J48" s="16">
        <f t="shared" si="3"/>
        <v>599286858.99000001</v>
      </c>
      <c r="K48" s="16">
        <f>SUMIF(Estado!$A$9:$A$368,$B48,Estado!$O$9:$O$368)</f>
        <v>76349418.010000005</v>
      </c>
      <c r="L48" s="51">
        <f t="shared" si="1"/>
        <v>0.88699627209330567</v>
      </c>
      <c r="M48" s="51">
        <f t="shared" si="2"/>
        <v>0.1130037279066944</v>
      </c>
    </row>
    <row r="49" spans="1:13" s="24" customFormat="1" ht="16.5" x14ac:dyDescent="0.25">
      <c r="A49" s="110"/>
      <c r="B49" s="107" t="str">
        <f>+Estado!A83</f>
        <v>E-10401</v>
      </c>
      <c r="C49" s="105" t="str">
        <f>IFERROR(VLOOKUP(B49,Estado!$A$9:$B$505,2,FALSE),0)</f>
        <v>SERV.MEDICOS YDE LAB</v>
      </c>
      <c r="D49" s="16">
        <f>SUMIF(Estado!$A$9:$A$368,$B49,Estado!$C$9:$C$368)</f>
        <v>24045000</v>
      </c>
      <c r="E49" s="16">
        <f>SUMIF(Estado!$A$9:$A$368,$B49,Estado!$D$9:$D$368)</f>
        <v>24045000</v>
      </c>
      <c r="F49" s="16">
        <f>SUMIF(Estado!$A$9:$A$368,$B49,Estado!$E$9:$E$368)</f>
        <v>0</v>
      </c>
      <c r="G49" s="16">
        <f>SUMIF(Estado!$A$9:$A$368,$B49,Estado!$G$9:$G$368)</f>
        <v>1800000</v>
      </c>
      <c r="H49" s="16">
        <f>SUMIF(Estado!$A$9:$A$368,$B49,Estado!$I$9:$I$368)</f>
        <v>0</v>
      </c>
      <c r="I49" s="16">
        <f>SUMIF(Estado!$A$9:$A$368,$B49,Estado!$K$9:$K$368)</f>
        <v>21668616</v>
      </c>
      <c r="J49" s="16">
        <f t="shared" si="3"/>
        <v>23468616</v>
      </c>
      <c r="K49" s="16">
        <f>SUMIF(Estado!$A$9:$A$368,$B49,Estado!$O$9:$O$368)</f>
        <v>576384</v>
      </c>
      <c r="L49" s="51">
        <f t="shared" si="1"/>
        <v>0.97602894572676235</v>
      </c>
      <c r="M49" s="51">
        <f t="shared" si="2"/>
        <v>2.3971054273237681E-2</v>
      </c>
    </row>
    <row r="50" spans="1:13" s="24" customFormat="1" ht="16.5" x14ac:dyDescent="0.25">
      <c r="A50" s="110"/>
      <c r="B50" s="107" t="str">
        <f>+Estado!A84</f>
        <v>E-10402</v>
      </c>
      <c r="C50" s="105" t="str">
        <f>IFERROR(VLOOKUP(B50,Estado!$A$9:$B$505,2,FALSE),0)</f>
        <v>SERVICIOS JURÍDICOS</v>
      </c>
      <c r="D50" s="16">
        <f>SUMIF(Estado!$A$9:$A$368,$B50,Estado!$C$9:$C$368)</f>
        <v>2000000</v>
      </c>
      <c r="E50" s="16">
        <f>SUMIF(Estado!$A$9:$A$368,$B50,Estado!$D$9:$D$368)</f>
        <v>2000000</v>
      </c>
      <c r="F50" s="16">
        <f>SUMIF(Estado!$A$9:$A$368,$B50,Estado!$E$9:$E$368)</f>
        <v>0</v>
      </c>
      <c r="G50" s="16">
        <f>SUMIF(Estado!$A$9:$A$368,$B50,Estado!$G$9:$G$368)</f>
        <v>0</v>
      </c>
      <c r="H50" s="16">
        <f>SUMIF(Estado!$A$9:$A$368,$B50,Estado!$I$9:$I$368)</f>
        <v>0</v>
      </c>
      <c r="I50" s="16">
        <f>SUMIF(Estado!$A$9:$A$368,$B50,Estado!$K$9:$K$368)</f>
        <v>9300</v>
      </c>
      <c r="J50" s="16">
        <f t="shared" si="3"/>
        <v>9300</v>
      </c>
      <c r="K50" s="16">
        <f>SUMIF(Estado!$A$9:$A$368,$B50,Estado!$O$9:$O$368)</f>
        <v>1990700</v>
      </c>
      <c r="L50" s="51">
        <f t="shared" si="1"/>
        <v>4.6499999999999996E-3</v>
      </c>
      <c r="M50" s="51">
        <f t="shared" si="2"/>
        <v>0.99534999999999996</v>
      </c>
    </row>
    <row r="51" spans="1:13" s="24" customFormat="1" ht="16.5" x14ac:dyDescent="0.25">
      <c r="A51" s="110"/>
      <c r="B51" s="107" t="str">
        <f>+Estado!A85</f>
        <v>E-10403</v>
      </c>
      <c r="C51" s="105" t="str">
        <f>IFERROR(VLOOKUP(B51,Estado!$A$9:$B$505,2,FALSE),0)</f>
        <v>SERV. DE INGENIERÍA</v>
      </c>
      <c r="D51" s="16">
        <f>SUMIF(Estado!$A$9:$A$368,$B51,Estado!$C$9:$C$368)</f>
        <v>92680000</v>
      </c>
      <c r="E51" s="16">
        <f>SUMIF(Estado!$A$9:$A$368,$B51,Estado!$D$9:$D$368)</f>
        <v>92680000</v>
      </c>
      <c r="F51" s="16">
        <f>SUMIF(Estado!$A$9:$A$368,$B51,Estado!$E$9:$E$368)</f>
        <v>0</v>
      </c>
      <c r="G51" s="16">
        <f>SUMIF(Estado!$A$9:$A$368,$B51,Estado!$G$9:$G$368)</f>
        <v>31490822.160000004</v>
      </c>
      <c r="H51" s="16">
        <f>SUMIF(Estado!$A$9:$A$368,$B51,Estado!$I$9:$I$368)</f>
        <v>0</v>
      </c>
      <c r="I51" s="16">
        <f>SUMIF(Estado!$A$9:$A$368,$B51,Estado!$K$9:$K$368)</f>
        <v>61154918.75</v>
      </c>
      <c r="J51" s="16">
        <f t="shared" si="3"/>
        <v>92645740.909999996</v>
      </c>
      <c r="K51" s="16">
        <f>SUMIF(Estado!$A$9:$A$368,$B51,Estado!$O$9:$O$368)</f>
        <v>34259.089999999997</v>
      </c>
      <c r="L51" s="51">
        <f t="shared" si="1"/>
        <v>0.99963035077686657</v>
      </c>
      <c r="M51" s="51">
        <f t="shared" si="2"/>
        <v>3.6964922313336205E-4</v>
      </c>
    </row>
    <row r="52" spans="1:13" s="24" customFormat="1" ht="16.5" x14ac:dyDescent="0.25">
      <c r="A52" s="110"/>
      <c r="B52" s="107" t="str">
        <f>+Estado!A86</f>
        <v>E-10404</v>
      </c>
      <c r="C52" s="105" t="str">
        <f>IFERROR(VLOOKUP(B52,Estado!$A$9:$B$505,2,FALSE),0)</f>
        <v>SERV.CIEN.ECON.Y SOC</v>
      </c>
      <c r="D52" s="16">
        <f>SUMIF(Estado!$A$9:$A$368,$B52,Estado!$C$9:$C$368)</f>
        <v>0</v>
      </c>
      <c r="E52" s="16">
        <f>SUMIF(Estado!$A$9:$A$368,$B52,Estado!$D$9:$D$368)</f>
        <v>0</v>
      </c>
      <c r="F52" s="16">
        <f>SUMIF(Estado!$A$9:$A$368,$B52,Estado!$E$9:$E$368)</f>
        <v>0</v>
      </c>
      <c r="G52" s="16">
        <f>SUMIF(Estado!$A$9:$A$368,$B52,Estado!$G$9:$G$368)</f>
        <v>0</v>
      </c>
      <c r="H52" s="16">
        <f>SUMIF(Estado!$A$9:$A$368,$B52,Estado!$I$9:$I$368)</f>
        <v>0</v>
      </c>
      <c r="I52" s="16">
        <f>SUMIF(Estado!$A$9:$A$368,$B52,Estado!$K$9:$K$368)</f>
        <v>0</v>
      </c>
      <c r="J52" s="16">
        <f t="shared" si="3"/>
        <v>0</v>
      </c>
      <c r="K52" s="16">
        <f>SUMIF(Estado!$A$9:$A$368,$B52,Estado!$O$9:$O$368)</f>
        <v>0</v>
      </c>
      <c r="L52" s="51">
        <f t="shared" si="1"/>
        <v>0</v>
      </c>
      <c r="M52" s="51">
        <f t="shared" si="2"/>
        <v>0</v>
      </c>
    </row>
    <row r="53" spans="1:13" s="24" customFormat="1" ht="16.5" x14ac:dyDescent="0.25">
      <c r="A53" s="110"/>
      <c r="B53" s="107" t="str">
        <f>+Estado!A87</f>
        <v>E-10405</v>
      </c>
      <c r="C53" s="105" t="str">
        <f>IFERROR(VLOOKUP(B53,Estado!$A$9:$B$505,2,FALSE),0)</f>
        <v>SERV.DES.SIST.INFORM</v>
      </c>
      <c r="D53" s="16">
        <f>SUMIF(Estado!$A$9:$A$368,$B53,Estado!$C$9:$C$368)</f>
        <v>30747000</v>
      </c>
      <c r="E53" s="16">
        <f>SUMIF(Estado!$A$9:$A$368,$B53,Estado!$D$9:$D$368)</f>
        <v>30747000</v>
      </c>
      <c r="F53" s="16">
        <f>SUMIF(Estado!$A$9:$A$368,$B53,Estado!$E$9:$E$368)</f>
        <v>0</v>
      </c>
      <c r="G53" s="16">
        <f>SUMIF(Estado!$A$9:$A$368,$B53,Estado!$G$9:$G$368)</f>
        <v>1393831.88</v>
      </c>
      <c r="H53" s="16">
        <f>SUMIF(Estado!$A$9:$A$368,$B53,Estado!$I$9:$I$368)</f>
        <v>0</v>
      </c>
      <c r="I53" s="16">
        <f>SUMIF(Estado!$A$9:$A$368,$B53,Estado!$K$9:$K$368)</f>
        <v>27431451.09</v>
      </c>
      <c r="J53" s="16">
        <f t="shared" si="3"/>
        <v>28825282.969999999</v>
      </c>
      <c r="K53" s="16">
        <f>SUMIF(Estado!$A$9:$A$368,$B53,Estado!$O$9:$O$368)</f>
        <v>1921717.03</v>
      </c>
      <c r="L53" s="51">
        <f t="shared" si="1"/>
        <v>0.93749903958109726</v>
      </c>
      <c r="M53" s="51">
        <f t="shared" si="2"/>
        <v>6.2500960418902657E-2</v>
      </c>
    </row>
    <row r="54" spans="1:13" s="24" customFormat="1" ht="16.5" x14ac:dyDescent="0.25">
      <c r="A54" s="110"/>
      <c r="B54" s="107" t="str">
        <f>+Estado!A88</f>
        <v>E-10406</v>
      </c>
      <c r="C54" s="105" t="str">
        <f>IFERROR(VLOOKUP(B54,Estado!$A$9:$B$505,2,FALSE),0)</f>
        <v>SERVICIOS GENERALES</v>
      </c>
      <c r="D54" s="16">
        <f>SUMIF(Estado!$A$9:$A$368,$B54,Estado!$C$9:$C$368)</f>
        <v>435241165</v>
      </c>
      <c r="E54" s="16">
        <f>SUMIF(Estado!$A$9:$A$368,$B54,Estado!$D$9:$D$368)</f>
        <v>435241165</v>
      </c>
      <c r="F54" s="16">
        <f>SUMIF(Estado!$A$9:$A$368,$B54,Estado!$E$9:$E$368)</f>
        <v>0</v>
      </c>
      <c r="G54" s="16">
        <f>SUMIF(Estado!$A$9:$A$368,$B54,Estado!$G$9:$G$368)</f>
        <v>53904683.359999999</v>
      </c>
      <c r="H54" s="16">
        <f>SUMIF(Estado!$A$9:$A$368,$B54,Estado!$I$9:$I$368)</f>
        <v>0</v>
      </c>
      <c r="I54" s="16">
        <f>SUMIF(Estado!$A$9:$A$368,$B54,Estado!$K$9:$K$368)</f>
        <v>363066479.60000002</v>
      </c>
      <c r="J54" s="16">
        <f t="shared" si="3"/>
        <v>416971162.96000004</v>
      </c>
      <c r="K54" s="16">
        <f>SUMIF(Estado!$A$9:$A$368,$B54,Estado!$O$9:$O$368)</f>
        <v>18270002.039999999</v>
      </c>
      <c r="L54" s="51">
        <f t="shared" si="1"/>
        <v>0.95802326730744791</v>
      </c>
      <c r="M54" s="51">
        <f t="shared" si="2"/>
        <v>4.1976732692552185E-2</v>
      </c>
    </row>
    <row r="55" spans="1:13" s="24" customFormat="1" ht="16.5" x14ac:dyDescent="0.25">
      <c r="A55" s="110"/>
      <c r="B55" s="107" t="str">
        <f>+Estado!A89</f>
        <v>E-10499</v>
      </c>
      <c r="C55" s="105" t="str">
        <f>IFERROR(VLOOKUP(B55,Estado!$A$9:$B$505,2,FALSE),0)</f>
        <v>OTROS SERV.GEST.APOY</v>
      </c>
      <c r="D55" s="16">
        <f>SUMIF(Estado!$A$9:$A$368,$B55,Estado!$C$9:$C$368)</f>
        <v>90923112</v>
      </c>
      <c r="E55" s="16">
        <f>SUMIF(Estado!$A$9:$A$368,$B55,Estado!$D$9:$D$368)</f>
        <v>90923112</v>
      </c>
      <c r="F55" s="16">
        <f>SUMIF(Estado!$A$9:$A$368,$B55,Estado!$E$9:$E$368)</f>
        <v>0</v>
      </c>
      <c r="G55" s="16">
        <f>SUMIF(Estado!$A$9:$A$368,$B55,Estado!$G$9:$G$368)</f>
        <v>2354536.25</v>
      </c>
      <c r="H55" s="16">
        <f>SUMIF(Estado!$A$9:$A$368,$B55,Estado!$I$9:$I$368)</f>
        <v>0</v>
      </c>
      <c r="I55" s="16">
        <f>SUMIF(Estado!$A$9:$A$368,$B55,Estado!$K$9:$K$368)</f>
        <v>35012219.899999999</v>
      </c>
      <c r="J55" s="16">
        <f t="shared" si="3"/>
        <v>37366756.149999999</v>
      </c>
      <c r="K55" s="16">
        <f>SUMIF(Estado!$A$9:$A$368,$B55,Estado!$O$9:$O$368)</f>
        <v>53556355.850000001</v>
      </c>
      <c r="L55" s="51">
        <f t="shared" si="1"/>
        <v>0.41097093278109531</v>
      </c>
      <c r="M55" s="51">
        <f t="shared" si="2"/>
        <v>0.58902906721890469</v>
      </c>
    </row>
    <row r="56" spans="1:13" s="24" customFormat="1" ht="16.5" x14ac:dyDescent="0.25">
      <c r="A56" s="110"/>
      <c r="B56" s="107" t="str">
        <f>+Estado!A90</f>
        <v>E-105</v>
      </c>
      <c r="C56" s="105" t="str">
        <f>IFERROR(VLOOKUP(B56,Estado!$A$9:$B$505,2,FALSE),0)</f>
        <v>GAST. VIAJE Y TRANSP</v>
      </c>
      <c r="D56" s="16">
        <f>SUMIF(Estado!$A$9:$A$368,$B56,Estado!$C$9:$C$368)</f>
        <v>244402500</v>
      </c>
      <c r="E56" s="16">
        <f>SUMIF(Estado!$A$9:$A$368,$B56,Estado!$D$9:$D$368)</f>
        <v>244402500</v>
      </c>
      <c r="F56" s="16">
        <f>SUMIF(Estado!$A$9:$A$368,$B56,Estado!$E$9:$E$368)</f>
        <v>0</v>
      </c>
      <c r="G56" s="16">
        <f>SUMIF(Estado!$A$9:$A$368,$B56,Estado!$G$9:$G$368)</f>
        <v>42339083.140000001</v>
      </c>
      <c r="H56" s="16">
        <f>SUMIF(Estado!$A$9:$A$368,$B56,Estado!$I$9:$I$368)</f>
        <v>0</v>
      </c>
      <c r="I56" s="16">
        <f>SUMIF(Estado!$A$9:$A$368,$B56,Estado!$K$9:$K$368)</f>
        <v>175525251.44</v>
      </c>
      <c r="J56" s="16">
        <f t="shared" si="3"/>
        <v>217864334.57999998</v>
      </c>
      <c r="K56" s="16">
        <f>SUMIF(Estado!$A$9:$A$368,$B56,Estado!$O$9:$O$368)</f>
        <v>26538165.420000002</v>
      </c>
      <c r="L56" s="51">
        <f t="shared" si="1"/>
        <v>0.89141614582502215</v>
      </c>
      <c r="M56" s="51">
        <f t="shared" si="2"/>
        <v>0.10858385417497776</v>
      </c>
    </row>
    <row r="57" spans="1:13" s="24" customFormat="1" ht="16.5" x14ac:dyDescent="0.25">
      <c r="A57" s="110"/>
      <c r="B57" s="107" t="str">
        <f>+Estado!A91</f>
        <v>E-10501</v>
      </c>
      <c r="C57" s="105" t="str">
        <f>IFERROR(VLOOKUP(B57,Estado!$A$9:$B$505,2,FALSE),0)</f>
        <v>TRANSP.DENT.DEL PAÍS</v>
      </c>
      <c r="D57" s="16">
        <f>SUMIF(Estado!$A$9:$A$368,$B57,Estado!$C$9:$C$368)</f>
        <v>9214000</v>
      </c>
      <c r="E57" s="16">
        <f>SUMIF(Estado!$A$9:$A$368,$B57,Estado!$D$9:$D$368)</f>
        <v>9214000</v>
      </c>
      <c r="F57" s="16">
        <f>SUMIF(Estado!$A$9:$A$368,$B57,Estado!$E$9:$E$368)</f>
        <v>0</v>
      </c>
      <c r="G57" s="16">
        <f>SUMIF(Estado!$A$9:$A$368,$B57,Estado!$G$9:$G$368)</f>
        <v>1169955</v>
      </c>
      <c r="H57" s="16">
        <f>SUMIF(Estado!$A$9:$A$368,$B57,Estado!$I$9:$I$368)</f>
        <v>0</v>
      </c>
      <c r="I57" s="16">
        <f>SUMIF(Estado!$A$9:$A$368,$B57,Estado!$K$9:$K$368)</f>
        <v>7909125</v>
      </c>
      <c r="J57" s="16">
        <f t="shared" si="3"/>
        <v>9079080</v>
      </c>
      <c r="K57" s="16">
        <f>SUMIF(Estado!$A$9:$A$368,$B57,Estado!$O$9:$O$368)</f>
        <v>134920</v>
      </c>
      <c r="L57" s="51">
        <f t="shared" si="1"/>
        <v>0.98535706533535927</v>
      </c>
      <c r="M57" s="51">
        <f t="shared" si="2"/>
        <v>1.4642934664640764E-2</v>
      </c>
    </row>
    <row r="58" spans="1:13" s="24" customFormat="1" ht="16.5" x14ac:dyDescent="0.25">
      <c r="A58" s="110"/>
      <c r="B58" s="107" t="str">
        <f>+Estado!A92</f>
        <v>E-10502</v>
      </c>
      <c r="C58" s="105" t="str">
        <f>IFERROR(VLOOKUP(B58,Estado!$A$9:$B$505,2,FALSE),0)</f>
        <v>VIÁTICOS DENTRO PAÍS</v>
      </c>
      <c r="D58" s="16">
        <f>SUMIF(Estado!$A$9:$A$368,$B58,Estado!$C$9:$C$368)</f>
        <v>201134500</v>
      </c>
      <c r="E58" s="16">
        <f>SUMIF(Estado!$A$9:$A$368,$B58,Estado!$D$9:$D$368)</f>
        <v>201134500</v>
      </c>
      <c r="F58" s="16">
        <f>SUMIF(Estado!$A$9:$A$368,$B58,Estado!$E$9:$E$368)</f>
        <v>0</v>
      </c>
      <c r="G58" s="16">
        <f>SUMIF(Estado!$A$9:$A$368,$B58,Estado!$G$9:$G$368)</f>
        <v>39927853</v>
      </c>
      <c r="H58" s="16">
        <f>SUMIF(Estado!$A$9:$A$368,$B58,Estado!$I$9:$I$368)</f>
        <v>0</v>
      </c>
      <c r="I58" s="16">
        <f>SUMIF(Estado!$A$9:$A$368,$B58,Estado!$K$9:$K$368)</f>
        <v>144763589.41</v>
      </c>
      <c r="J58" s="16">
        <f t="shared" si="3"/>
        <v>184691442.41</v>
      </c>
      <c r="K58" s="16">
        <f>SUMIF(Estado!$A$9:$A$368,$B58,Estado!$O$9:$O$368)</f>
        <v>16443057.59</v>
      </c>
      <c r="L58" s="51">
        <f t="shared" si="1"/>
        <v>0.91824844773025016</v>
      </c>
      <c r="M58" s="51">
        <f t="shared" si="2"/>
        <v>8.1751552269749839E-2</v>
      </c>
    </row>
    <row r="59" spans="1:13" s="24" customFormat="1" ht="16.5" x14ac:dyDescent="0.25">
      <c r="A59" s="110"/>
      <c r="B59" s="107" t="str">
        <f>+Estado!A93</f>
        <v>E-10503</v>
      </c>
      <c r="C59" s="105" t="str">
        <f>IFERROR(VLOOKUP(B59,Estado!$A$9:$B$505,2,FALSE),0)</f>
        <v>TRANSPORTE EN EL EXT</v>
      </c>
      <c r="D59" s="16">
        <f>SUMIF(Estado!$A$9:$A$368,$B59,Estado!$C$9:$C$368)</f>
        <v>15000000</v>
      </c>
      <c r="E59" s="16">
        <f>SUMIF(Estado!$A$9:$A$368,$B59,Estado!$D$9:$D$368)</f>
        <v>15000000</v>
      </c>
      <c r="F59" s="16">
        <f>SUMIF(Estado!$A$9:$A$368,$B59,Estado!$E$9:$E$368)</f>
        <v>0</v>
      </c>
      <c r="G59" s="16">
        <f>SUMIF(Estado!$A$9:$A$368,$B59,Estado!$G$9:$G$368)</f>
        <v>424947.26</v>
      </c>
      <c r="H59" s="16">
        <f>SUMIF(Estado!$A$9:$A$368,$B59,Estado!$I$9:$I$368)</f>
        <v>0</v>
      </c>
      <c r="I59" s="16">
        <f>SUMIF(Estado!$A$9:$A$368,$B59,Estado!$K$9:$K$368)</f>
        <v>10713649.82</v>
      </c>
      <c r="J59" s="16">
        <f t="shared" si="3"/>
        <v>11138597.08</v>
      </c>
      <c r="K59" s="16">
        <f>SUMIF(Estado!$A$9:$A$368,$B59,Estado!$O$9:$O$368)</f>
        <v>3861402.92</v>
      </c>
      <c r="L59" s="51">
        <f t="shared" si="1"/>
        <v>0.74257313866666663</v>
      </c>
      <c r="M59" s="51">
        <f t="shared" si="2"/>
        <v>0.25742686133333331</v>
      </c>
    </row>
    <row r="60" spans="1:13" s="24" customFormat="1" ht="16.5" x14ac:dyDescent="0.25">
      <c r="A60" s="110"/>
      <c r="B60" s="107" t="str">
        <f>+Estado!A94</f>
        <v>E-10504</v>
      </c>
      <c r="C60" s="105" t="str">
        <f>IFERROR(VLOOKUP(B60,Estado!$A$9:$B$505,2,FALSE),0)</f>
        <v>VIÁTICOS EN EXTERIOR</v>
      </c>
      <c r="D60" s="16">
        <f>SUMIF(Estado!$A$9:$A$368,$B60,Estado!$C$9:$C$368)</f>
        <v>19054000</v>
      </c>
      <c r="E60" s="16">
        <f>SUMIF(Estado!$A$9:$A$368,$B60,Estado!$D$9:$D$368)</f>
        <v>19054000</v>
      </c>
      <c r="F60" s="16">
        <f>SUMIF(Estado!$A$9:$A$368,$B60,Estado!$E$9:$E$368)</f>
        <v>0</v>
      </c>
      <c r="G60" s="16">
        <f>SUMIF(Estado!$A$9:$A$368,$B60,Estado!$G$9:$G$368)</f>
        <v>816327.88</v>
      </c>
      <c r="H60" s="16">
        <f>SUMIF(Estado!$A$9:$A$368,$B60,Estado!$I$9:$I$368)</f>
        <v>0</v>
      </c>
      <c r="I60" s="16">
        <f>SUMIF(Estado!$A$9:$A$368,$B60,Estado!$K$9:$K$368)</f>
        <v>12138887.209999999</v>
      </c>
      <c r="J60" s="16">
        <f t="shared" si="3"/>
        <v>12955215.09</v>
      </c>
      <c r="K60" s="16">
        <f>SUMIF(Estado!$A$9:$A$368,$B60,Estado!$O$9:$O$368)</f>
        <v>6098784.9100000001</v>
      </c>
      <c r="L60" s="51">
        <f t="shared" si="1"/>
        <v>0.67992101868374089</v>
      </c>
      <c r="M60" s="51">
        <f t="shared" si="2"/>
        <v>0.32007898131625906</v>
      </c>
    </row>
    <row r="61" spans="1:13" s="24" customFormat="1" ht="16.5" x14ac:dyDescent="0.25">
      <c r="A61" s="110"/>
      <c r="B61" s="107" t="str">
        <f>+Estado!A95</f>
        <v>E-106</v>
      </c>
      <c r="C61" s="105" t="str">
        <f>IFERROR(VLOOKUP(B61,Estado!$A$9:$B$505,2,FALSE),0)</f>
        <v>SEGUROS REASEG Y OTR</v>
      </c>
      <c r="D61" s="16">
        <f>SUMIF(Estado!$A$9:$A$368,$B61,Estado!$C$9:$C$368)</f>
        <v>1570140963</v>
      </c>
      <c r="E61" s="16">
        <f>SUMIF(Estado!$A$9:$A$368,$B61,Estado!$D$9:$D$368)</f>
        <v>1570140963</v>
      </c>
      <c r="F61" s="16">
        <f>SUMIF(Estado!$A$9:$A$368,$B61,Estado!$E$9:$E$368)</f>
        <v>0</v>
      </c>
      <c r="G61" s="16">
        <f>SUMIF(Estado!$A$9:$A$368,$B61,Estado!$G$9:$G$368)</f>
        <v>328210387.92000002</v>
      </c>
      <c r="H61" s="16">
        <f>SUMIF(Estado!$A$9:$A$368,$B61,Estado!$I$9:$I$368)</f>
        <v>0</v>
      </c>
      <c r="I61" s="16">
        <f>SUMIF(Estado!$A$9:$A$368,$B61,Estado!$K$9:$K$368)</f>
        <v>1206052439.01</v>
      </c>
      <c r="J61" s="16">
        <f t="shared" si="3"/>
        <v>1534262826.9300001</v>
      </c>
      <c r="K61" s="16">
        <f>SUMIF(Estado!$A$9:$A$368,$B61,Estado!$O$9:$O$368)</f>
        <v>35878136.07</v>
      </c>
      <c r="L61" s="51">
        <f t="shared" si="1"/>
        <v>0.97714973565083663</v>
      </c>
      <c r="M61" s="51">
        <f t="shared" si="2"/>
        <v>2.2850264349163409E-2</v>
      </c>
    </row>
    <row r="62" spans="1:13" s="24" customFormat="1" ht="16.5" x14ac:dyDescent="0.25">
      <c r="A62" s="110"/>
      <c r="B62" s="107" t="str">
        <f>+Estado!A96</f>
        <v>E-10601</v>
      </c>
      <c r="C62" s="105" t="str">
        <f>IFERROR(VLOOKUP(B62,Estado!$A$9:$B$505,2,FALSE),0)</f>
        <v>SEGUROS</v>
      </c>
      <c r="D62" s="16">
        <f>SUMIF(Estado!$A$9:$A$368,$B62,Estado!$C$9:$C$368)</f>
        <v>1568740963</v>
      </c>
      <c r="E62" s="16">
        <f>SUMIF(Estado!$A$9:$A$368,$B62,Estado!$D$9:$D$368)</f>
        <v>1568740963</v>
      </c>
      <c r="F62" s="16">
        <f>SUMIF(Estado!$A$9:$A$368,$B62,Estado!$E$9:$E$368)</f>
        <v>0</v>
      </c>
      <c r="G62" s="16">
        <f>SUMIF(Estado!$A$9:$A$368,$B62,Estado!$G$9:$G$368)</f>
        <v>328210387.92000002</v>
      </c>
      <c r="H62" s="16">
        <f>SUMIF(Estado!$A$9:$A$368,$B62,Estado!$I$9:$I$368)</f>
        <v>0</v>
      </c>
      <c r="I62" s="16">
        <f>SUMIF(Estado!$A$9:$A$368,$B62,Estado!$K$9:$K$368)</f>
        <v>1206052439.01</v>
      </c>
      <c r="J62" s="16">
        <f t="shared" si="3"/>
        <v>1534262826.9300001</v>
      </c>
      <c r="K62" s="16">
        <f>SUMIF(Estado!$A$9:$A$368,$B62,Estado!$O$9:$O$368)</f>
        <v>34478136.07</v>
      </c>
      <c r="L62" s="51">
        <f t="shared" si="1"/>
        <v>0.97802177868545914</v>
      </c>
      <c r="M62" s="51">
        <f t="shared" si="2"/>
        <v>2.1978221314540889E-2</v>
      </c>
    </row>
    <row r="63" spans="1:13" s="24" customFormat="1" ht="16.5" x14ac:dyDescent="0.25">
      <c r="A63" s="110"/>
      <c r="B63" s="107" t="str">
        <f>+Estado!A97</f>
        <v>E-10602</v>
      </c>
      <c r="C63" s="105" t="str">
        <f>IFERROR(VLOOKUP(B63,Estado!$A$9:$B$505,2,FALSE),0)</f>
        <v>REASEGUROS</v>
      </c>
      <c r="D63" s="16">
        <f>SUMIF(Estado!$A$9:$A$368,$B63,Estado!$C$9:$C$368)</f>
        <v>1400000</v>
      </c>
      <c r="E63" s="16">
        <f>SUMIF(Estado!$A$9:$A$368,$B63,Estado!$D$9:$D$368)</f>
        <v>1400000</v>
      </c>
      <c r="F63" s="16">
        <f>SUMIF(Estado!$A$9:$A$368,$B63,Estado!$E$9:$E$368)</f>
        <v>0</v>
      </c>
      <c r="G63" s="16">
        <f>SUMIF(Estado!$A$9:$A$368,$B63,Estado!$G$9:$G$368)</f>
        <v>0</v>
      </c>
      <c r="H63" s="16">
        <f>SUMIF(Estado!$A$9:$A$368,$B63,Estado!$I$9:$I$368)</f>
        <v>0</v>
      </c>
      <c r="I63" s="16">
        <f>SUMIF(Estado!$A$9:$A$368,$B63,Estado!$K$9:$K$368)</f>
        <v>0</v>
      </c>
      <c r="J63" s="16">
        <f t="shared" ref="J63" si="6">SUM(G63:I63)</f>
        <v>0</v>
      </c>
      <c r="K63" s="16">
        <f>SUMIF(Estado!$A$9:$A$368,$B63,Estado!$O$9:$O$368)</f>
        <v>1400000</v>
      </c>
      <c r="L63" s="51">
        <f t="shared" ref="L63" si="7">+IFERROR(SUM(G63:I63)/D63,0)</f>
        <v>0</v>
      </c>
      <c r="M63" s="51">
        <f t="shared" ref="M63" si="8">+IFERROR(+K63/D63,0)</f>
        <v>1</v>
      </c>
    </row>
    <row r="64" spans="1:13" s="24" customFormat="1" ht="16.5" x14ac:dyDescent="0.25">
      <c r="A64" s="110"/>
      <c r="B64" s="107" t="str">
        <f>+Estado!A98</f>
        <v>E-107</v>
      </c>
      <c r="C64" s="105" t="str">
        <f>IFERROR(VLOOKUP(B64,Estado!$A$9:$B$505,2,FALSE),0)</f>
        <v>CAPACIT. Y PROTOCOLO</v>
      </c>
      <c r="D64" s="16">
        <f>SUMIF(Estado!$A$9:$A$368,$B64,Estado!$C$9:$C$368)</f>
        <v>38235630</v>
      </c>
      <c r="E64" s="16">
        <f>SUMIF(Estado!$A$9:$A$368,$B64,Estado!$D$9:$D$368)</f>
        <v>38235630</v>
      </c>
      <c r="F64" s="16">
        <f>SUMIF(Estado!$A$9:$A$368,$B64,Estado!$E$9:$E$368)</f>
        <v>0</v>
      </c>
      <c r="G64" s="16">
        <f>SUMIF(Estado!$A$9:$A$368,$B64,Estado!$G$9:$G$368)</f>
        <v>750400.97</v>
      </c>
      <c r="H64" s="16">
        <f>SUMIF(Estado!$A$9:$A$368,$B64,Estado!$I$9:$I$368)</f>
        <v>0</v>
      </c>
      <c r="I64" s="16">
        <f>SUMIF(Estado!$A$9:$A$368,$B64,Estado!$K$9:$K$368)</f>
        <v>24214787.23</v>
      </c>
      <c r="J64" s="16">
        <f t="shared" si="3"/>
        <v>24965188.199999999</v>
      </c>
      <c r="K64" s="16">
        <f>SUMIF(Estado!$A$9:$A$368,$B64,Estado!$O$9:$O$368)</f>
        <v>13270441.800000001</v>
      </c>
      <c r="L64" s="51">
        <f t="shared" si="1"/>
        <v>0.65292995564608192</v>
      </c>
      <c r="M64" s="51">
        <f t="shared" si="2"/>
        <v>0.34707004435391808</v>
      </c>
    </row>
    <row r="65" spans="1:13" s="24" customFormat="1" ht="16.5" x14ac:dyDescent="0.25">
      <c r="A65" s="110"/>
      <c r="B65" s="107" t="str">
        <f>+Estado!A99</f>
        <v>E-10701</v>
      </c>
      <c r="C65" s="105" t="str">
        <f>IFERROR(VLOOKUP(B65,Estado!$A$9:$B$505,2,FALSE),0)</f>
        <v>ACTIV. CAPACITACIÓN</v>
      </c>
      <c r="D65" s="16">
        <f>SUMIF(Estado!$A$9:$A$368,$B65,Estado!$C$9:$C$368)</f>
        <v>27506280</v>
      </c>
      <c r="E65" s="16">
        <f>SUMIF(Estado!$A$9:$A$368,$B65,Estado!$D$9:$D$368)</f>
        <v>27506280</v>
      </c>
      <c r="F65" s="16">
        <f>SUMIF(Estado!$A$9:$A$368,$B65,Estado!$E$9:$E$368)</f>
        <v>0</v>
      </c>
      <c r="G65" s="16">
        <f>SUMIF(Estado!$A$9:$A$368,$B65,Estado!$G$9:$G$368)</f>
        <v>472356</v>
      </c>
      <c r="H65" s="16">
        <f>SUMIF(Estado!$A$9:$A$368,$B65,Estado!$I$9:$I$368)</f>
        <v>0</v>
      </c>
      <c r="I65" s="16">
        <f>SUMIF(Estado!$A$9:$A$368,$B65,Estado!$K$9:$K$368)</f>
        <v>21860900</v>
      </c>
      <c r="J65" s="16">
        <f t="shared" si="3"/>
        <v>22333256</v>
      </c>
      <c r="K65" s="16">
        <f>SUMIF(Estado!$A$9:$A$368,$B65,Estado!$O$9:$O$368)</f>
        <v>5173024</v>
      </c>
      <c r="L65" s="51">
        <f t="shared" si="1"/>
        <v>0.811932984031283</v>
      </c>
      <c r="M65" s="51">
        <f t="shared" si="2"/>
        <v>0.18806701596871697</v>
      </c>
    </row>
    <row r="66" spans="1:13" s="23" customFormat="1" ht="16.5" x14ac:dyDescent="0.25">
      <c r="A66" s="108"/>
      <c r="B66" s="107" t="str">
        <f>+Estado!A100</f>
        <v>E-10702</v>
      </c>
      <c r="C66" s="105" t="str">
        <f>IFERROR(VLOOKUP(B66,Estado!$A$9:$B$505,2,FALSE),0)</f>
        <v>ACTIV.PROTOCOL Y SOC</v>
      </c>
      <c r="D66" s="16">
        <f>SUMIF(Estado!$A$9:$A$368,$B66,Estado!$C$9:$C$368)</f>
        <v>9694350</v>
      </c>
      <c r="E66" s="16">
        <f>SUMIF(Estado!$A$9:$A$368,$B66,Estado!$D$9:$D$368)</f>
        <v>9694350</v>
      </c>
      <c r="F66" s="16">
        <f>SUMIF(Estado!$A$9:$A$368,$B66,Estado!$E$9:$E$368)</f>
        <v>0</v>
      </c>
      <c r="G66" s="16">
        <f>SUMIF(Estado!$A$9:$A$368,$B66,Estado!$G$9:$G$368)</f>
        <v>149760</v>
      </c>
      <c r="H66" s="16">
        <f>SUMIF(Estado!$A$9:$A$368,$B66,Estado!$I$9:$I$368)</f>
        <v>0</v>
      </c>
      <c r="I66" s="16">
        <f>SUMIF(Estado!$A$9:$A$368,$B66,Estado!$K$9:$K$368)</f>
        <v>1771211.2</v>
      </c>
      <c r="J66" s="16">
        <f t="shared" ref="J66" si="9">SUM(G66:I66)</f>
        <v>1920971.2</v>
      </c>
      <c r="K66" s="16">
        <f>SUMIF(Estado!$A$9:$A$368,$B66,Estado!$O$9:$O$368)</f>
        <v>7773378.7999999998</v>
      </c>
      <c r="L66" s="51">
        <f t="shared" si="1"/>
        <v>0.19815368745712708</v>
      </c>
      <c r="M66" s="51">
        <f t="shared" si="2"/>
        <v>0.80184631254287286</v>
      </c>
    </row>
    <row r="67" spans="1:13" s="24" customFormat="1" ht="16.5" x14ac:dyDescent="0.25">
      <c r="A67" s="110"/>
      <c r="B67" s="107" t="str">
        <f>+Estado!A101</f>
        <v>E-10703</v>
      </c>
      <c r="C67" s="105" t="str">
        <f>IFERROR(VLOOKUP(B67,Estado!$A$9:$B$505,2,FALSE),0)</f>
        <v>GASTOS REPRES.INSTIT</v>
      </c>
      <c r="D67" s="16">
        <f>SUMIF(Estado!$A$9:$A$368,$B67,Estado!$C$9:$C$368)</f>
        <v>1035000</v>
      </c>
      <c r="E67" s="16">
        <f>SUMIF(Estado!$A$9:$A$368,$B67,Estado!$D$9:$D$368)</f>
        <v>1035000</v>
      </c>
      <c r="F67" s="16">
        <f>SUMIF(Estado!$A$9:$A$368,$B67,Estado!$E$9:$E$368)</f>
        <v>0</v>
      </c>
      <c r="G67" s="16">
        <f>SUMIF(Estado!$A$9:$A$368,$B67,Estado!$G$9:$G$368)</f>
        <v>128284.97</v>
      </c>
      <c r="H67" s="16">
        <f>SUMIF(Estado!$A$9:$A$368,$B67,Estado!$I$9:$I$368)</f>
        <v>0</v>
      </c>
      <c r="I67" s="16">
        <f>SUMIF(Estado!$A$9:$A$368,$B67,Estado!$K$9:$K$368)</f>
        <v>582676.03</v>
      </c>
      <c r="J67" s="16">
        <f t="shared" ref="J67" si="10">SUM(G67:I67)</f>
        <v>710961</v>
      </c>
      <c r="K67" s="16">
        <f>SUMIF(Estado!$A$9:$A$368,$B67,Estado!$O$9:$O$368)</f>
        <v>324039</v>
      </c>
      <c r="L67" s="51">
        <f t="shared" si="1"/>
        <v>0.6869188405797102</v>
      </c>
      <c r="M67" s="51">
        <f t="shared" si="2"/>
        <v>0.31308115942028986</v>
      </c>
    </row>
    <row r="68" spans="1:13" s="24" customFormat="1" ht="16.5" x14ac:dyDescent="0.25">
      <c r="A68" s="110"/>
      <c r="B68" s="107" t="str">
        <f>+Estado!A102</f>
        <v>E-108</v>
      </c>
      <c r="C68" s="105" t="str">
        <f>IFERROR(VLOOKUP(B68,Estado!$A$9:$B$505,2,FALSE),0)</f>
        <v>MANTEN. Y REPARACIÓN</v>
      </c>
      <c r="D68" s="16">
        <f>SUMIF(Estado!$A$9:$A$368,$B68,Estado!$C$9:$C$368)</f>
        <v>879490276</v>
      </c>
      <c r="E68" s="16">
        <f>SUMIF(Estado!$A$9:$A$368,$B68,Estado!$D$9:$D$368)</f>
        <v>879490276</v>
      </c>
      <c r="F68" s="16">
        <f>SUMIF(Estado!$A$9:$A$368,$B68,Estado!$E$9:$E$368)</f>
        <v>0</v>
      </c>
      <c r="G68" s="16">
        <f>SUMIF(Estado!$A$9:$A$368,$B68,Estado!$G$9:$G$368)</f>
        <v>110963323.78</v>
      </c>
      <c r="H68" s="16">
        <f>SUMIF(Estado!$A$9:$A$368,$B68,Estado!$I$9:$I$368)</f>
        <v>0</v>
      </c>
      <c r="I68" s="16">
        <f>SUMIF(Estado!$A$9:$A$368,$B68,Estado!$K$9:$K$368)</f>
        <v>405765468.34999996</v>
      </c>
      <c r="J68" s="16">
        <f t="shared" si="3"/>
        <v>516728792.13</v>
      </c>
      <c r="K68" s="16">
        <f>SUMIF(Estado!$A$9:$A$368,$B68,Estado!$O$9:$O$368)</f>
        <v>362761483.87</v>
      </c>
      <c r="L68" s="51">
        <f t="shared" si="1"/>
        <v>0.58753212654053266</v>
      </c>
      <c r="M68" s="51">
        <f t="shared" si="2"/>
        <v>0.41246787345946734</v>
      </c>
    </row>
    <row r="69" spans="1:13" s="24" customFormat="1" ht="16.5" x14ac:dyDescent="0.25">
      <c r="A69" s="110"/>
      <c r="B69" s="107" t="str">
        <f>+Estado!A103</f>
        <v>E-10801</v>
      </c>
      <c r="C69" s="105" t="str">
        <f>IFERROR(VLOOKUP(B69,Estado!$A$9:$B$505,2,FALSE),0)</f>
        <v>MANT.EDIF.,LOC.YTERR</v>
      </c>
      <c r="D69" s="16">
        <f>SUMIF(Estado!$A$9:$A$368,$B69,Estado!$C$9:$C$368)</f>
        <v>159211555</v>
      </c>
      <c r="E69" s="16">
        <f>SUMIF(Estado!$A$9:$A$368,$B69,Estado!$D$9:$D$368)</f>
        <v>159211555</v>
      </c>
      <c r="F69" s="16">
        <f>SUMIF(Estado!$A$9:$A$368,$B69,Estado!$E$9:$E$368)</f>
        <v>0</v>
      </c>
      <c r="G69" s="16">
        <f>SUMIF(Estado!$A$9:$A$368,$B69,Estado!$G$9:$G$368)</f>
        <v>0</v>
      </c>
      <c r="H69" s="16">
        <f>SUMIF(Estado!$A$9:$A$368,$B69,Estado!$I$9:$I$368)</f>
        <v>0</v>
      </c>
      <c r="I69" s="16">
        <f>SUMIF(Estado!$A$9:$A$368,$B69,Estado!$K$9:$K$368)</f>
        <v>68910881.25</v>
      </c>
      <c r="J69" s="16">
        <f t="shared" si="3"/>
        <v>68910881.25</v>
      </c>
      <c r="K69" s="16">
        <f>SUMIF(Estado!$A$9:$A$368,$B69,Estado!$O$9:$O$368)</f>
        <v>90300673.75</v>
      </c>
      <c r="L69" s="51">
        <f t="shared" ref="L69:L132" si="11">+IFERROR(SUM(G69:I69)/D69,0)</f>
        <v>0.43282587906386566</v>
      </c>
      <c r="M69" s="51">
        <f t="shared" ref="M69:M132" si="12">+IFERROR(+K69/D69,0)</f>
        <v>0.56717412093613429</v>
      </c>
    </row>
    <row r="70" spans="1:13" s="24" customFormat="1" ht="16.5" x14ac:dyDescent="0.25">
      <c r="A70" s="110"/>
      <c r="B70" s="107" t="str">
        <f>+Estado!A104</f>
        <v>E-10804</v>
      </c>
      <c r="C70" s="105" t="str">
        <f>IFERROR(VLOOKUP(B70,Estado!$A$9:$B$505,2,FALSE),0)</f>
        <v>MANT.Y REP.M.EQ.PROD</v>
      </c>
      <c r="D70" s="16">
        <f>SUMIF(Estado!$A$9:$A$368,$B70,Estado!$C$9:$C$368)</f>
        <v>334124899</v>
      </c>
      <c r="E70" s="16">
        <f>SUMIF(Estado!$A$9:$A$368,$B70,Estado!$D$9:$D$368)</f>
        <v>334124899</v>
      </c>
      <c r="F70" s="16">
        <f>SUMIF(Estado!$A$9:$A$368,$B70,Estado!$E$9:$E$368)</f>
        <v>0</v>
      </c>
      <c r="G70" s="16">
        <f>SUMIF(Estado!$A$9:$A$368,$B70,Estado!$G$9:$G$368)</f>
        <v>15725171.310000001</v>
      </c>
      <c r="H70" s="16">
        <f>SUMIF(Estado!$A$9:$A$368,$B70,Estado!$I$9:$I$368)</f>
        <v>0</v>
      </c>
      <c r="I70" s="16">
        <f>SUMIF(Estado!$A$9:$A$368,$B70,Estado!$K$9:$K$368)</f>
        <v>139758428.36000001</v>
      </c>
      <c r="J70" s="16">
        <f t="shared" ref="J70:J133" si="13">SUM(G70:I70)</f>
        <v>155483599.67000002</v>
      </c>
      <c r="K70" s="16">
        <f>SUMIF(Estado!$A$9:$A$368,$B70,Estado!$O$9:$O$368)</f>
        <v>178641299.33000001</v>
      </c>
      <c r="L70" s="51">
        <f t="shared" si="11"/>
        <v>0.46534574386807376</v>
      </c>
      <c r="M70" s="51">
        <f t="shared" si="12"/>
        <v>0.5346542561319263</v>
      </c>
    </row>
    <row r="71" spans="1:13" s="24" customFormat="1" ht="16.5" x14ac:dyDescent="0.25">
      <c r="A71" s="110"/>
      <c r="B71" s="107" t="str">
        <f>+Estado!A105</f>
        <v>E-10805</v>
      </c>
      <c r="C71" s="105" t="str">
        <f>IFERROR(VLOOKUP(B71,Estado!$A$9:$B$505,2,FALSE),0)</f>
        <v>MANT.Y REP.EQ.TRANSP</v>
      </c>
      <c r="D71" s="16">
        <f>SUMIF(Estado!$A$9:$A$368,$B71,Estado!$C$9:$C$368)</f>
        <v>116796000</v>
      </c>
      <c r="E71" s="16">
        <f>SUMIF(Estado!$A$9:$A$368,$B71,Estado!$D$9:$D$368)</f>
        <v>116796000</v>
      </c>
      <c r="F71" s="16">
        <f>SUMIF(Estado!$A$9:$A$368,$B71,Estado!$E$9:$E$368)</f>
        <v>0</v>
      </c>
      <c r="G71" s="16">
        <f>SUMIF(Estado!$A$9:$A$368,$B71,Estado!$G$9:$G$368)</f>
        <v>29871354.82</v>
      </c>
      <c r="H71" s="16">
        <f>SUMIF(Estado!$A$9:$A$368,$B71,Estado!$I$9:$I$368)</f>
        <v>0</v>
      </c>
      <c r="I71" s="16">
        <f>SUMIF(Estado!$A$9:$A$368,$B71,Estado!$K$9:$K$368)</f>
        <v>65440501.209999993</v>
      </c>
      <c r="J71" s="16">
        <f t="shared" si="13"/>
        <v>95311856.030000001</v>
      </c>
      <c r="K71" s="16">
        <f>SUMIF(Estado!$A$9:$A$368,$B71,Estado!$O$9:$O$368)</f>
        <v>21484143.969999999</v>
      </c>
      <c r="L71" s="51">
        <f t="shared" si="11"/>
        <v>0.81605411169903075</v>
      </c>
      <c r="M71" s="51">
        <f t="shared" si="12"/>
        <v>0.1839458883009692</v>
      </c>
    </row>
    <row r="72" spans="1:13" s="24" customFormat="1" ht="16.5" x14ac:dyDescent="0.25">
      <c r="A72" s="110"/>
      <c r="B72" s="107" t="str">
        <f>+Estado!A106</f>
        <v>E-10806</v>
      </c>
      <c r="C72" s="105" t="str">
        <f>IFERROR(VLOOKUP(B72,Estado!$A$9:$B$505,2,FALSE),0)</f>
        <v>MANT.Y REP.EQ.COMUNI</v>
      </c>
      <c r="D72" s="16">
        <f>SUMIF(Estado!$A$9:$A$368,$B72,Estado!$C$9:$C$368)</f>
        <v>9050000</v>
      </c>
      <c r="E72" s="16">
        <f>SUMIF(Estado!$A$9:$A$368,$B72,Estado!$D$9:$D$368)</f>
        <v>9050000</v>
      </c>
      <c r="F72" s="16">
        <f>SUMIF(Estado!$A$9:$A$368,$B72,Estado!$E$9:$E$368)</f>
        <v>0</v>
      </c>
      <c r="G72" s="16">
        <f>SUMIF(Estado!$A$9:$A$368,$B72,Estado!$G$9:$G$368)</f>
        <v>12500</v>
      </c>
      <c r="H72" s="16">
        <f>SUMIF(Estado!$A$9:$A$368,$B72,Estado!$I$9:$I$368)</f>
        <v>0</v>
      </c>
      <c r="I72" s="16">
        <f>SUMIF(Estado!$A$9:$A$368,$B72,Estado!$K$9:$K$368)</f>
        <v>4806500</v>
      </c>
      <c r="J72" s="16">
        <f t="shared" si="13"/>
        <v>4819000</v>
      </c>
      <c r="K72" s="16">
        <f>SUMIF(Estado!$A$9:$A$368,$B72,Estado!$O$9:$O$368)</f>
        <v>4231000</v>
      </c>
      <c r="L72" s="51">
        <f t="shared" si="11"/>
        <v>0.53248618784530388</v>
      </c>
      <c r="M72" s="51">
        <f t="shared" si="12"/>
        <v>0.46751381215469612</v>
      </c>
    </row>
    <row r="73" spans="1:13" s="24" customFormat="1" ht="16.5" x14ac:dyDescent="0.25">
      <c r="A73" s="110"/>
      <c r="B73" s="107" t="str">
        <f>+Estado!A107</f>
        <v>E-10807</v>
      </c>
      <c r="C73" s="105" t="str">
        <f>IFERROR(VLOOKUP(B73,Estado!$A$9:$B$505,2,FALSE),0)</f>
        <v>MANT.Y REP.EQ.MOB.OF</v>
      </c>
      <c r="D73" s="16">
        <f>SUMIF(Estado!$A$9:$A$368,$B73,Estado!$C$9:$C$368)</f>
        <v>37966000</v>
      </c>
      <c r="E73" s="16">
        <f>SUMIF(Estado!$A$9:$A$368,$B73,Estado!$D$9:$D$368)</f>
        <v>37966000</v>
      </c>
      <c r="F73" s="16">
        <f>SUMIF(Estado!$A$9:$A$368,$B73,Estado!$E$9:$E$368)</f>
        <v>0</v>
      </c>
      <c r="G73" s="16">
        <f>SUMIF(Estado!$A$9:$A$368,$B73,Estado!$G$9:$G$368)</f>
        <v>758000.6</v>
      </c>
      <c r="H73" s="16">
        <f>SUMIF(Estado!$A$9:$A$368,$B73,Estado!$I$9:$I$368)</f>
        <v>0</v>
      </c>
      <c r="I73" s="16">
        <f>SUMIF(Estado!$A$9:$A$368,$B73,Estado!$K$9:$K$368)</f>
        <v>20441830.57</v>
      </c>
      <c r="J73" s="16">
        <f t="shared" si="13"/>
        <v>21199831.170000002</v>
      </c>
      <c r="K73" s="16">
        <f>SUMIF(Estado!$A$9:$A$368,$B73,Estado!$O$9:$O$368)</f>
        <v>16766168.829999998</v>
      </c>
      <c r="L73" s="51">
        <f t="shared" si="11"/>
        <v>0.55838990596849813</v>
      </c>
      <c r="M73" s="51">
        <f t="shared" si="12"/>
        <v>0.44161009403150181</v>
      </c>
    </row>
    <row r="74" spans="1:13" s="24" customFormat="1" ht="16.5" x14ac:dyDescent="0.25">
      <c r="A74" s="110"/>
      <c r="B74" s="107" t="str">
        <f>+Estado!A108</f>
        <v>E-10808</v>
      </c>
      <c r="C74" s="105" t="str">
        <f>IFERROR(VLOOKUP(B74,Estado!$A$9:$B$505,2,FALSE),0)</f>
        <v>MANT.YREP.EQ.C.S.INF</v>
      </c>
      <c r="D74" s="16">
        <f>SUMIF(Estado!$A$9:$A$368,$B74,Estado!$C$9:$C$368)</f>
        <v>54905957</v>
      </c>
      <c r="E74" s="16">
        <f>SUMIF(Estado!$A$9:$A$368,$B74,Estado!$D$9:$D$368)</f>
        <v>54905957</v>
      </c>
      <c r="F74" s="16">
        <f>SUMIF(Estado!$A$9:$A$368,$B74,Estado!$E$9:$E$368)</f>
        <v>0</v>
      </c>
      <c r="G74" s="16">
        <f>SUMIF(Estado!$A$9:$A$368,$B74,Estado!$G$9:$G$368)</f>
        <v>10607112.43</v>
      </c>
      <c r="H74" s="16">
        <f>SUMIF(Estado!$A$9:$A$368,$B74,Estado!$I$9:$I$368)</f>
        <v>0</v>
      </c>
      <c r="I74" s="16">
        <f>SUMIF(Estado!$A$9:$A$368,$B74,Estado!$K$9:$K$368)</f>
        <v>32623323.670000002</v>
      </c>
      <c r="J74" s="16">
        <f t="shared" si="13"/>
        <v>43230436.100000001</v>
      </c>
      <c r="K74" s="16">
        <f>SUMIF(Estado!$A$9:$A$368,$B74,Estado!$O$9:$O$368)</f>
        <v>11675520.899999999</v>
      </c>
      <c r="L74" s="51">
        <f t="shared" si="11"/>
        <v>0.78735420457201033</v>
      </c>
      <c r="M74" s="51">
        <f t="shared" si="12"/>
        <v>0.2126457954279897</v>
      </c>
    </row>
    <row r="75" spans="1:13" s="24" customFormat="1" ht="16.5" x14ac:dyDescent="0.25">
      <c r="A75" s="110"/>
      <c r="B75" s="107" t="str">
        <f>+Estado!A109</f>
        <v>E-10899</v>
      </c>
      <c r="C75" s="105" t="str">
        <f>IFERROR(VLOOKUP(B75,Estado!$A$9:$B$505,2,FALSE),0)</f>
        <v>MANT.Y REP.OTROS EQ.</v>
      </c>
      <c r="D75" s="16">
        <f>SUMIF(Estado!$A$9:$A$368,$B75,Estado!$C$9:$C$368)</f>
        <v>167435865</v>
      </c>
      <c r="E75" s="16">
        <f>SUMIF(Estado!$A$9:$A$368,$B75,Estado!$D$9:$D$368)</f>
        <v>167435865</v>
      </c>
      <c r="F75" s="16">
        <f>SUMIF(Estado!$A$9:$A$368,$B75,Estado!$E$9:$E$368)</f>
        <v>0</v>
      </c>
      <c r="G75" s="16">
        <f>SUMIF(Estado!$A$9:$A$368,$B75,Estado!$G$9:$G$368)</f>
        <v>53989184.619999997</v>
      </c>
      <c r="H75" s="16">
        <f>SUMIF(Estado!$A$9:$A$368,$B75,Estado!$I$9:$I$368)</f>
        <v>0</v>
      </c>
      <c r="I75" s="16">
        <f>SUMIF(Estado!$A$9:$A$368,$B75,Estado!$K$9:$K$368)</f>
        <v>73784003.290000007</v>
      </c>
      <c r="J75" s="16">
        <f t="shared" si="13"/>
        <v>127773187.91</v>
      </c>
      <c r="K75" s="16">
        <f>SUMIF(Estado!$A$9:$A$368,$B75,Estado!$O$9:$O$368)</f>
        <v>39662677.090000004</v>
      </c>
      <c r="L75" s="51">
        <f t="shared" si="11"/>
        <v>0.76311719660539867</v>
      </c>
      <c r="M75" s="51">
        <f t="shared" si="12"/>
        <v>0.2368828033946013</v>
      </c>
    </row>
    <row r="76" spans="1:13" s="24" customFormat="1" ht="16.5" x14ac:dyDescent="0.25">
      <c r="A76" s="110"/>
      <c r="B76" s="107" t="str">
        <f>+Estado!A110</f>
        <v>E-109</v>
      </c>
      <c r="C76" s="105" t="str">
        <f>IFERROR(VLOOKUP(B76,Estado!$A$9:$B$505,2,FALSE),0)</f>
        <v>IMPUESTOS</v>
      </c>
      <c r="D76" s="16">
        <f>SUMIF(Estado!$A$9:$A$368,$B76,Estado!$C$9:$C$368)</f>
        <v>21312000</v>
      </c>
      <c r="E76" s="16">
        <f>SUMIF(Estado!$A$9:$A$368,$B76,Estado!$D$9:$D$368)</f>
        <v>21312000</v>
      </c>
      <c r="F76" s="16">
        <f>SUMIF(Estado!$A$9:$A$368,$B76,Estado!$E$9:$E$368)</f>
        <v>0</v>
      </c>
      <c r="G76" s="16">
        <f>SUMIF(Estado!$A$9:$A$368,$B76,Estado!$G$9:$G$368)</f>
        <v>5180860</v>
      </c>
      <c r="H76" s="16">
        <f>SUMIF(Estado!$A$9:$A$368,$B76,Estado!$I$9:$I$368)</f>
        <v>0</v>
      </c>
      <c r="I76" s="16">
        <f>SUMIF(Estado!$A$9:$A$368,$B76,Estado!$K$9:$K$368)</f>
        <v>10734296</v>
      </c>
      <c r="J76" s="16">
        <f t="shared" si="13"/>
        <v>15915156</v>
      </c>
      <c r="K76" s="16">
        <f>SUMIF(Estado!$A$9:$A$368,$B76,Estado!$O$9:$O$368)</f>
        <v>5396844</v>
      </c>
      <c r="L76" s="51">
        <f t="shared" si="11"/>
        <v>0.74676970720720726</v>
      </c>
      <c r="M76" s="51">
        <f t="shared" si="12"/>
        <v>0.2532302927927928</v>
      </c>
    </row>
    <row r="77" spans="1:13" s="24" customFormat="1" ht="16.5" x14ac:dyDescent="0.25">
      <c r="A77" s="110"/>
      <c r="B77" s="107" t="str">
        <f>+Estado!A111</f>
        <v>E-10999</v>
      </c>
      <c r="C77" s="105" t="str">
        <f>IFERROR(VLOOKUP(B77,Estado!$A$9:$B$505,2,FALSE),0)</f>
        <v>TROS IMPUESTOS</v>
      </c>
      <c r="D77" s="16">
        <f>SUMIF(Estado!$A$9:$A$368,$B77,Estado!$C$9:$C$368)</f>
        <v>21312000</v>
      </c>
      <c r="E77" s="16">
        <f>SUMIF(Estado!$A$9:$A$368,$B77,Estado!$D$9:$D$368)</f>
        <v>21312000</v>
      </c>
      <c r="F77" s="16">
        <f>SUMIF(Estado!$A$9:$A$368,$B77,Estado!$E$9:$E$368)</f>
        <v>0</v>
      </c>
      <c r="G77" s="16">
        <f>SUMIF(Estado!$A$9:$A$368,$B77,Estado!$G$9:$G$368)</f>
        <v>5180860</v>
      </c>
      <c r="H77" s="16">
        <f>SUMIF(Estado!$A$9:$A$368,$B77,Estado!$I$9:$I$368)</f>
        <v>0</v>
      </c>
      <c r="I77" s="16">
        <f>SUMIF(Estado!$A$9:$A$368,$B77,Estado!$K$9:$K$368)</f>
        <v>10734296</v>
      </c>
      <c r="J77" s="16">
        <f t="shared" si="13"/>
        <v>15915156</v>
      </c>
      <c r="K77" s="16">
        <f>SUMIF(Estado!$A$9:$A$368,$B77,Estado!$O$9:$O$368)</f>
        <v>5396844</v>
      </c>
      <c r="L77" s="51">
        <f t="shared" si="11"/>
        <v>0.74676970720720726</v>
      </c>
      <c r="M77" s="51">
        <f t="shared" si="12"/>
        <v>0.2532302927927928</v>
      </c>
    </row>
    <row r="78" spans="1:13" s="24" customFormat="1" ht="16.5" x14ac:dyDescent="0.25">
      <c r="A78" s="110"/>
      <c r="B78" s="107" t="str">
        <f>+Estado!A112</f>
        <v>E-199</v>
      </c>
      <c r="C78" s="105" t="str">
        <f>IFERROR(VLOOKUP(B78,Estado!$A$9:$B$505,2,FALSE),0)</f>
        <v>SERVICIOS DIVERSOS</v>
      </c>
      <c r="D78" s="16">
        <f>SUMIF(Estado!$A$9:$A$368,$B78,Estado!$C$9:$C$368)</f>
        <v>56219000</v>
      </c>
      <c r="E78" s="16">
        <f>SUMIF(Estado!$A$9:$A$368,$B78,Estado!$D$9:$D$368)</f>
        <v>56219000</v>
      </c>
      <c r="F78" s="16">
        <f>SUMIF(Estado!$A$9:$A$368,$B78,Estado!$E$9:$E$368)</f>
        <v>0</v>
      </c>
      <c r="G78" s="16">
        <f>SUMIF(Estado!$A$9:$A$368,$B78,Estado!$G$9:$G$368)</f>
        <v>9541217.3200000003</v>
      </c>
      <c r="H78" s="16">
        <f>SUMIF(Estado!$A$9:$A$368,$B78,Estado!$I$9:$I$368)</f>
        <v>0</v>
      </c>
      <c r="I78" s="16">
        <f>SUMIF(Estado!$A$9:$A$368,$B78,Estado!$K$9:$K$368)</f>
        <v>12654516.869999999</v>
      </c>
      <c r="J78" s="16">
        <f t="shared" si="13"/>
        <v>22195734.189999998</v>
      </c>
      <c r="K78" s="16">
        <f>SUMIF(Estado!$A$9:$A$368,$B78,Estado!$O$9:$O$368)</f>
        <v>34023265.810000002</v>
      </c>
      <c r="L78" s="51">
        <f t="shared" si="11"/>
        <v>0.39480841334780054</v>
      </c>
      <c r="M78" s="51">
        <f t="shared" si="12"/>
        <v>0.60519158665219952</v>
      </c>
    </row>
    <row r="79" spans="1:13" s="24" customFormat="1" ht="16.5" x14ac:dyDescent="0.25">
      <c r="A79" s="110"/>
      <c r="B79" s="107" t="str">
        <f>+Estado!A113</f>
        <v>E-19901</v>
      </c>
      <c r="C79" s="105" t="str">
        <f>IFERROR(VLOOKUP(B79,Estado!$A$9:$B$505,2,FALSE),0)</f>
        <v>SERV. DE REGULACIÓN</v>
      </c>
      <c r="D79" s="16">
        <f>SUMIF(Estado!$A$9:$A$368,$B79,Estado!$C$9:$C$368)</f>
        <v>10969000</v>
      </c>
      <c r="E79" s="16">
        <f>SUMIF(Estado!$A$9:$A$368,$B79,Estado!$D$9:$D$368)</f>
        <v>10969000</v>
      </c>
      <c r="F79" s="16">
        <f>SUMIF(Estado!$A$9:$A$368,$B79,Estado!$E$9:$E$368)</f>
        <v>0</v>
      </c>
      <c r="G79" s="16">
        <f>SUMIF(Estado!$A$9:$A$368,$B79,Estado!$G$9:$G$368)</f>
        <v>268516</v>
      </c>
      <c r="H79" s="16">
        <f>SUMIF(Estado!$A$9:$A$368,$B79,Estado!$I$9:$I$368)</f>
        <v>0</v>
      </c>
      <c r="I79" s="16">
        <f>SUMIF(Estado!$A$9:$A$368,$B79,Estado!$K$9:$K$368)</f>
        <v>461638.85</v>
      </c>
      <c r="J79" s="16">
        <f t="shared" si="13"/>
        <v>730154.85</v>
      </c>
      <c r="K79" s="16">
        <f>SUMIF(Estado!$A$9:$A$368,$B79,Estado!$O$9:$O$368)</f>
        <v>10238845.15</v>
      </c>
      <c r="L79" s="51">
        <f t="shared" si="11"/>
        <v>6.6565306773634786E-2</v>
      </c>
      <c r="M79" s="51">
        <f t="shared" si="12"/>
        <v>0.9334346932263653</v>
      </c>
    </row>
    <row r="80" spans="1:13" s="24" customFormat="1" ht="16.5" x14ac:dyDescent="0.25">
      <c r="A80" s="110"/>
      <c r="B80" s="107" t="str">
        <f>+Estado!A114</f>
        <v>E-19902</v>
      </c>
      <c r="C80" s="105" t="str">
        <f>IFERROR(VLOOKUP(B80,Estado!$A$9:$B$505,2,FALSE),0)</f>
        <v>INT. MORAT. Y MULTAS</v>
      </c>
      <c r="D80" s="16">
        <f>SUMIF(Estado!$A$9:$A$368,$B80,Estado!$C$9:$C$368)</f>
        <v>10650000</v>
      </c>
      <c r="E80" s="16">
        <f>SUMIF(Estado!$A$9:$A$368,$B80,Estado!$D$9:$D$368)</f>
        <v>10650000</v>
      </c>
      <c r="F80" s="16">
        <f>SUMIF(Estado!$A$9:$A$368,$B80,Estado!$E$9:$E$368)</f>
        <v>0</v>
      </c>
      <c r="G80" s="16">
        <f>SUMIF(Estado!$A$9:$A$368,$B80,Estado!$G$9:$G$368)</f>
        <v>460431.32</v>
      </c>
      <c r="H80" s="16">
        <f>SUMIF(Estado!$A$9:$A$368,$B80,Estado!$I$9:$I$368)</f>
        <v>0</v>
      </c>
      <c r="I80" s="16">
        <f>SUMIF(Estado!$A$9:$A$368,$B80,Estado!$K$9:$K$368)</f>
        <v>2751979.02</v>
      </c>
      <c r="J80" s="16">
        <f t="shared" si="13"/>
        <v>3212410.34</v>
      </c>
      <c r="K80" s="16">
        <f>SUMIF(Estado!$A$9:$A$368,$B80,Estado!$O$9:$O$368)</f>
        <v>7437589.6600000001</v>
      </c>
      <c r="L80" s="51">
        <f t="shared" si="11"/>
        <v>0.30163477370892017</v>
      </c>
      <c r="M80" s="51">
        <f t="shared" si="12"/>
        <v>0.69836522629107978</v>
      </c>
    </row>
    <row r="81" spans="1:13" s="24" customFormat="1" ht="16.5" x14ac:dyDescent="0.25">
      <c r="A81" s="110"/>
      <c r="B81" s="107" t="str">
        <f>+Estado!A115</f>
        <v>E-19905</v>
      </c>
      <c r="C81" s="105" t="str">
        <f>IFERROR(VLOOKUP(B81,Estado!$A$9:$B$505,2,FALSE),0)</f>
        <v>DEDUCIBLES</v>
      </c>
      <c r="D81" s="16">
        <f>SUMIF(Estado!$A$9:$A$368,$B81,Estado!$C$9:$C$368)</f>
        <v>34600000</v>
      </c>
      <c r="E81" s="16">
        <f>SUMIF(Estado!$A$9:$A$368,$B81,Estado!$D$9:$D$368)</f>
        <v>34600000</v>
      </c>
      <c r="F81" s="16">
        <f>SUMIF(Estado!$A$9:$A$368,$B81,Estado!$E$9:$E$368)</f>
        <v>0</v>
      </c>
      <c r="G81" s="16">
        <f>SUMIF(Estado!$A$9:$A$368,$B81,Estado!$G$9:$G$368)</f>
        <v>8812270</v>
      </c>
      <c r="H81" s="16">
        <f>SUMIF(Estado!$A$9:$A$368,$B81,Estado!$I$9:$I$368)</f>
        <v>0</v>
      </c>
      <c r="I81" s="16">
        <f>SUMIF(Estado!$A$9:$A$368,$B81,Estado!$K$9:$K$368)</f>
        <v>9440899</v>
      </c>
      <c r="J81" s="16">
        <f t="shared" si="13"/>
        <v>18253169</v>
      </c>
      <c r="K81" s="16">
        <f>SUMIF(Estado!$A$9:$A$368,$B81,Estado!$O$9:$O$368)</f>
        <v>16346831</v>
      </c>
      <c r="L81" s="51">
        <f t="shared" si="11"/>
        <v>0.5275482369942196</v>
      </c>
      <c r="M81" s="51">
        <f t="shared" si="12"/>
        <v>0.47245176300578035</v>
      </c>
    </row>
    <row r="82" spans="1:13" s="23" customFormat="1" ht="17.25" x14ac:dyDescent="0.25">
      <c r="A82" s="108"/>
      <c r="B82" s="109" t="str">
        <f>+Estado!A116</f>
        <v>E-2</v>
      </c>
      <c r="C82" s="106" t="str">
        <f>IFERROR(VLOOKUP(B82,Estado!$A$9:$B$505,2,FALSE),0)</f>
        <v>MATERIALES Y SUMINIS</v>
      </c>
      <c r="D82" s="22">
        <f>+D83+D89+D92+D100+D103</f>
        <v>17156319741.66</v>
      </c>
      <c r="E82" s="22">
        <f t="shared" ref="E82:K82" si="14">+E83+E89+E92+E100+E103</f>
        <v>17156319741.66</v>
      </c>
      <c r="F82" s="22">
        <f t="shared" si="14"/>
        <v>112744985.28</v>
      </c>
      <c r="G82" s="22">
        <f t="shared" si="14"/>
        <v>2067001096.8800001</v>
      </c>
      <c r="H82" s="22">
        <f t="shared" si="14"/>
        <v>0</v>
      </c>
      <c r="I82" s="22">
        <f t="shared" si="14"/>
        <v>12538732111.810001</v>
      </c>
      <c r="J82" s="22">
        <f t="shared" si="14"/>
        <v>14605733208.690001</v>
      </c>
      <c r="K82" s="22">
        <f t="shared" si="14"/>
        <v>2437841547.6899996</v>
      </c>
      <c r="L82" s="68">
        <f t="shared" si="11"/>
        <v>0.8513325368507495</v>
      </c>
      <c r="M82" s="68">
        <f t="shared" si="12"/>
        <v>0.14209583316230037</v>
      </c>
    </row>
    <row r="83" spans="1:13" s="24" customFormat="1" ht="16.5" x14ac:dyDescent="0.25">
      <c r="A83" s="110"/>
      <c r="B83" s="107" t="str">
        <f>+Estado!A117</f>
        <v>E-201</v>
      </c>
      <c r="C83" s="105" t="str">
        <f>IFERROR(VLOOKUP(B83,Estado!$A$9:$B$505,2,FALSE),0)</f>
        <v>PRODUC QUÍM Y CONEX</v>
      </c>
      <c r="D83" s="16">
        <f>SUMIF(Estado!$A$9:$A$368,$B83,Estado!$C$9:$C$368)</f>
        <v>995436870</v>
      </c>
      <c r="E83" s="16">
        <f>SUMIF(Estado!$A$9:$A$368,$B83,Estado!$D$9:$D$368)</f>
        <v>995436870</v>
      </c>
      <c r="F83" s="16">
        <f>SUMIF(Estado!$A$9:$A$368,$B83,Estado!$E$9:$E$368)</f>
        <v>575000</v>
      </c>
      <c r="G83" s="16">
        <f>SUMIF(Estado!$A$9:$A$368,$B83,Estado!$G$9:$G$368)</f>
        <v>65510669.640000001</v>
      </c>
      <c r="H83" s="16">
        <f>SUMIF(Estado!$A$9:$A$368,$B83,Estado!$I$9:$I$368)</f>
        <v>0</v>
      </c>
      <c r="I83" s="16">
        <f>SUMIF(Estado!$A$9:$A$368,$B83,Estado!$K$9:$K$368)</f>
        <v>804695947.26999998</v>
      </c>
      <c r="J83" s="16">
        <f t="shared" si="13"/>
        <v>870206616.90999997</v>
      </c>
      <c r="K83" s="16">
        <f>SUMIF(Estado!$A$9:$A$368,$B83,Estado!$O$9:$O$368)</f>
        <v>124655253.09</v>
      </c>
      <c r="L83" s="51">
        <f t="shared" si="11"/>
        <v>0.87419568546823057</v>
      </c>
      <c r="M83" s="51">
        <f t="shared" si="12"/>
        <v>0.12522667870439638</v>
      </c>
    </row>
    <row r="84" spans="1:13" s="24" customFormat="1" ht="16.5" x14ac:dyDescent="0.25">
      <c r="A84" s="110"/>
      <c r="B84" s="107" t="str">
        <f>+Estado!A118</f>
        <v>E-20101</v>
      </c>
      <c r="C84" s="105" t="str">
        <f>IFERROR(VLOOKUP(B84,Estado!$A$9:$B$505,2,FALSE),0)</f>
        <v>COMB Y LUBRICANTES</v>
      </c>
      <c r="D84" s="16">
        <f>SUMIF(Estado!$A$9:$A$368,$B84,Estado!$C$9:$C$368)</f>
        <v>672961134</v>
      </c>
      <c r="E84" s="16">
        <f>SUMIF(Estado!$A$9:$A$368,$B84,Estado!$D$9:$D$368)</f>
        <v>672961134</v>
      </c>
      <c r="F84" s="16">
        <f>SUMIF(Estado!$A$9:$A$368,$B84,Estado!$E$9:$E$368)</f>
        <v>0</v>
      </c>
      <c r="G84" s="16">
        <f>SUMIF(Estado!$A$9:$A$368,$B84,Estado!$G$9:$G$368)</f>
        <v>55597109.640000001</v>
      </c>
      <c r="H84" s="16">
        <f>SUMIF(Estado!$A$9:$A$368,$B84,Estado!$I$9:$I$368)</f>
        <v>0</v>
      </c>
      <c r="I84" s="16">
        <f>SUMIF(Estado!$A$9:$A$368,$B84,Estado!$K$9:$K$368)</f>
        <v>523161270.76000005</v>
      </c>
      <c r="J84" s="16">
        <f t="shared" si="13"/>
        <v>578758380.4000001</v>
      </c>
      <c r="K84" s="16">
        <f>SUMIF(Estado!$A$9:$A$368,$B84,Estado!$O$9:$O$368)</f>
        <v>94202753.599999994</v>
      </c>
      <c r="L84" s="51">
        <f t="shared" si="11"/>
        <v>0.86001754211261794</v>
      </c>
      <c r="M84" s="51">
        <f t="shared" si="12"/>
        <v>0.13998245788738223</v>
      </c>
    </row>
    <row r="85" spans="1:13" s="24" customFormat="1" ht="16.5" x14ac:dyDescent="0.25">
      <c r="A85" s="110"/>
      <c r="B85" s="107" t="str">
        <f>+Estado!A119</f>
        <v>E-20102</v>
      </c>
      <c r="C85" s="105" t="str">
        <f>IFERROR(VLOOKUP(B85,Estado!$A$9:$B$505,2,FALSE),0)</f>
        <v>PROD FARMAC Y MEDIC.</v>
      </c>
      <c r="D85" s="16">
        <f>SUMIF(Estado!$A$9:$A$368,$B85,Estado!$C$9:$C$368)</f>
        <v>210618025</v>
      </c>
      <c r="E85" s="16">
        <f>SUMIF(Estado!$A$9:$A$368,$B85,Estado!$D$9:$D$368)</f>
        <v>210618025</v>
      </c>
      <c r="F85" s="16">
        <f>SUMIF(Estado!$A$9:$A$368,$B85,Estado!$E$9:$E$368)</f>
        <v>575000</v>
      </c>
      <c r="G85" s="16">
        <f>SUMIF(Estado!$A$9:$A$368,$B85,Estado!$G$9:$G$368)</f>
        <v>1847650</v>
      </c>
      <c r="H85" s="16">
        <f>SUMIF(Estado!$A$9:$A$368,$B85,Estado!$I$9:$I$368)</f>
        <v>0</v>
      </c>
      <c r="I85" s="16">
        <f>SUMIF(Estado!$A$9:$A$368,$B85,Estado!$K$9:$K$368)</f>
        <v>203075687.36000001</v>
      </c>
      <c r="J85" s="16">
        <f t="shared" si="13"/>
        <v>204923337.36000001</v>
      </c>
      <c r="K85" s="16">
        <f>SUMIF(Estado!$A$9:$A$368,$B85,Estado!$O$9:$O$368)</f>
        <v>5119687.6399999997</v>
      </c>
      <c r="L85" s="51">
        <f t="shared" si="11"/>
        <v>0.97296201196455057</v>
      </c>
      <c r="M85" s="51">
        <f t="shared" si="12"/>
        <v>2.4307927301094004E-2</v>
      </c>
    </row>
    <row r="86" spans="1:13" s="24" customFormat="1" ht="16.5" x14ac:dyDescent="0.25">
      <c r="A86" s="110"/>
      <c r="B86" s="107" t="str">
        <f>+Estado!A120</f>
        <v>E-20103</v>
      </c>
      <c r="C86" s="105" t="str">
        <f>IFERROR(VLOOKUP(B86,Estado!$A$9:$B$505,2,FALSE),0)</f>
        <v>PRODUCTOS VETERIN.</v>
      </c>
      <c r="D86" s="16">
        <f>SUMIF(Estado!$A$9:$A$368,$B86,Estado!$C$9:$C$368)</f>
        <v>6774000</v>
      </c>
      <c r="E86" s="16">
        <f>SUMIF(Estado!$A$9:$A$368,$B86,Estado!$D$9:$D$368)</f>
        <v>6774000</v>
      </c>
      <c r="F86" s="16">
        <f>SUMIF(Estado!$A$9:$A$368,$B86,Estado!$E$9:$E$368)</f>
        <v>0</v>
      </c>
      <c r="G86" s="16">
        <f>SUMIF(Estado!$A$9:$A$368,$B86,Estado!$G$9:$G$368)</f>
        <v>0</v>
      </c>
      <c r="H86" s="16">
        <f>SUMIF(Estado!$A$9:$A$368,$B86,Estado!$I$9:$I$368)</f>
        <v>0</v>
      </c>
      <c r="I86" s="16">
        <f>SUMIF(Estado!$A$9:$A$368,$B86,Estado!$K$9:$K$368)</f>
        <v>0</v>
      </c>
      <c r="J86" s="16">
        <f t="shared" si="13"/>
        <v>0</v>
      </c>
      <c r="K86" s="16">
        <f>SUMIF(Estado!$A$9:$A$368,$B86,Estado!$O$9:$O$368)</f>
        <v>6774000</v>
      </c>
      <c r="L86" s="51">
        <f t="shared" si="11"/>
        <v>0</v>
      </c>
      <c r="M86" s="51">
        <f t="shared" si="12"/>
        <v>1</v>
      </c>
    </row>
    <row r="87" spans="1:13" s="24" customFormat="1" ht="16.5" x14ac:dyDescent="0.25">
      <c r="A87" s="110"/>
      <c r="B87" s="107" t="str">
        <f>+Estado!A121</f>
        <v>E-20104</v>
      </c>
      <c r="C87" s="105" t="str">
        <f>IFERROR(VLOOKUP(B87,Estado!$A$9:$B$505,2,FALSE),0)</f>
        <v>TINTAS, PINT.Y DILUY</v>
      </c>
      <c r="D87" s="16">
        <f>SUMIF(Estado!$A$9:$A$368,$B87,Estado!$C$9:$C$368)</f>
        <v>92886178</v>
      </c>
      <c r="E87" s="16">
        <f>SUMIF(Estado!$A$9:$A$368,$B87,Estado!$D$9:$D$368)</f>
        <v>92886178</v>
      </c>
      <c r="F87" s="16">
        <f>SUMIF(Estado!$A$9:$A$368,$B87,Estado!$E$9:$E$368)</f>
        <v>0</v>
      </c>
      <c r="G87" s="16">
        <f>SUMIF(Estado!$A$9:$A$368,$B87,Estado!$G$9:$G$368)</f>
        <v>0</v>
      </c>
      <c r="H87" s="16">
        <f>SUMIF(Estado!$A$9:$A$368,$B87,Estado!$I$9:$I$368)</f>
        <v>0</v>
      </c>
      <c r="I87" s="16">
        <f>SUMIF(Estado!$A$9:$A$368,$B87,Estado!$K$9:$K$368)</f>
        <v>76476556.150000006</v>
      </c>
      <c r="J87" s="16">
        <f t="shared" si="13"/>
        <v>76476556.150000006</v>
      </c>
      <c r="K87" s="16">
        <f>SUMIF(Estado!$A$9:$A$368,$B87,Estado!$O$9:$O$368)</f>
        <v>16409621.850000001</v>
      </c>
      <c r="L87" s="51">
        <f t="shared" si="11"/>
        <v>0.82333623577449822</v>
      </c>
      <c r="M87" s="51">
        <f t="shared" si="12"/>
        <v>0.1766637642255019</v>
      </c>
    </row>
    <row r="88" spans="1:13" s="24" customFormat="1" ht="16.5" x14ac:dyDescent="0.25">
      <c r="A88" s="110"/>
      <c r="B88" s="107" t="str">
        <f>+Estado!A122</f>
        <v>E-20199</v>
      </c>
      <c r="C88" s="105" t="str">
        <f>IFERROR(VLOOKUP(B88,Estado!$A$9:$B$505,2,FALSE),0)</f>
        <v>OTR.PROD.QUÍM YCONEX</v>
      </c>
      <c r="D88" s="16">
        <f>SUMIF(Estado!$A$9:$A$368,$B88,Estado!$C$9:$C$368)</f>
        <v>12197533</v>
      </c>
      <c r="E88" s="16">
        <f>SUMIF(Estado!$A$9:$A$368,$B88,Estado!$D$9:$D$368)</f>
        <v>12197533</v>
      </c>
      <c r="F88" s="16">
        <f>SUMIF(Estado!$A$9:$A$368,$B88,Estado!$E$9:$E$368)</f>
        <v>0</v>
      </c>
      <c r="G88" s="16">
        <f>SUMIF(Estado!$A$9:$A$368,$B88,Estado!$G$9:$G$368)</f>
        <v>8065910</v>
      </c>
      <c r="H88" s="16">
        <f>SUMIF(Estado!$A$9:$A$368,$B88,Estado!$I$9:$I$368)</f>
        <v>0</v>
      </c>
      <c r="I88" s="16">
        <f>SUMIF(Estado!$A$9:$A$368,$B88,Estado!$K$9:$K$368)</f>
        <v>1982433</v>
      </c>
      <c r="J88" s="16">
        <f t="shared" si="13"/>
        <v>10048343</v>
      </c>
      <c r="K88" s="16">
        <f>SUMIF(Estado!$A$9:$A$368,$B88,Estado!$O$9:$O$368)</f>
        <v>2149190</v>
      </c>
      <c r="L88" s="51">
        <f t="shared" si="11"/>
        <v>0.82380125554897043</v>
      </c>
      <c r="M88" s="51">
        <f t="shared" si="12"/>
        <v>0.17619874445102957</v>
      </c>
    </row>
    <row r="89" spans="1:13" s="24" customFormat="1" ht="16.5" x14ac:dyDescent="0.25">
      <c r="A89" s="110"/>
      <c r="B89" s="107" t="str">
        <f>+Estado!A123</f>
        <v>E-202</v>
      </c>
      <c r="C89" s="105" t="str">
        <f>IFERROR(VLOOKUP(B89,Estado!$A$9:$B$505,2,FALSE),0)</f>
        <v>ALIMEN Y PRODUC AGRO</v>
      </c>
      <c r="D89" s="16">
        <f>SUMIF(Estado!$A$9:$A$368,$B89,Estado!$C$9:$C$368)</f>
        <v>12205661519.66</v>
      </c>
      <c r="E89" s="16">
        <f>SUMIF(Estado!$A$9:$A$368,$B89,Estado!$D$9:$D$368)</f>
        <v>12205661519.66</v>
      </c>
      <c r="F89" s="16">
        <f>SUMIF(Estado!$A$9:$A$368,$B89,Estado!$E$9:$E$368)</f>
        <v>0</v>
      </c>
      <c r="G89" s="16">
        <f>SUMIF(Estado!$A$9:$A$368,$B89,Estado!$G$9:$G$368)</f>
        <v>1810847298.48</v>
      </c>
      <c r="H89" s="16">
        <f>SUMIF(Estado!$A$9:$A$368,$B89,Estado!$I$9:$I$368)</f>
        <v>0</v>
      </c>
      <c r="I89" s="16">
        <f>SUMIF(Estado!$A$9:$A$368,$B89,Estado!$K$9:$K$368)</f>
        <v>8393994583.5799999</v>
      </c>
      <c r="J89" s="16">
        <f t="shared" si="13"/>
        <v>10204841882.059999</v>
      </c>
      <c r="K89" s="16">
        <f>SUMIF(Estado!$A$9:$A$368,$B89,Estado!$O$9:$O$368)</f>
        <v>2000819637.5999999</v>
      </c>
      <c r="L89" s="51">
        <f t="shared" si="11"/>
        <v>0.83607446148025455</v>
      </c>
      <c r="M89" s="51">
        <f t="shared" si="12"/>
        <v>0.16392553851974542</v>
      </c>
    </row>
    <row r="90" spans="1:13" s="24" customFormat="1" ht="16.5" x14ac:dyDescent="0.25">
      <c r="A90" s="110"/>
      <c r="B90" s="107" t="str">
        <f>+Estado!A124</f>
        <v>E-20203</v>
      </c>
      <c r="C90" s="105" t="str">
        <f>IFERROR(VLOOKUP(B90,Estado!$A$9:$B$505,2,FALSE),0)</f>
        <v>ALIMENTOS Y BEBIDAS</v>
      </c>
      <c r="D90" s="16">
        <f>SUMIF(Estado!$A$9:$A$368,$B90,Estado!$C$9:$C$368)</f>
        <v>12188132519.66</v>
      </c>
      <c r="E90" s="16">
        <f>SUMIF(Estado!$A$9:$A$368,$B90,Estado!$D$9:$D$368)</f>
        <v>12188132519.66</v>
      </c>
      <c r="F90" s="16">
        <f>SUMIF(Estado!$A$9:$A$368,$B90,Estado!$E$9:$E$368)</f>
        <v>0</v>
      </c>
      <c r="G90" s="16">
        <f>SUMIF(Estado!$A$9:$A$368,$B90,Estado!$G$9:$G$368)</f>
        <v>1810847298.48</v>
      </c>
      <c r="H90" s="16">
        <f>SUMIF(Estado!$A$9:$A$368,$B90,Estado!$I$9:$I$368)</f>
        <v>0</v>
      </c>
      <c r="I90" s="16">
        <f>SUMIF(Estado!$A$9:$A$368,$B90,Estado!$K$9:$K$368)</f>
        <v>8376499108.5799999</v>
      </c>
      <c r="J90" s="16">
        <f t="shared" si="13"/>
        <v>10187346407.059999</v>
      </c>
      <c r="K90" s="16">
        <f>SUMIF(Estado!$A$9:$A$368,$B90,Estado!$O$9:$O$368)</f>
        <v>2000786112.5999999</v>
      </c>
      <c r="L90" s="51">
        <f t="shared" si="11"/>
        <v>0.83584145402319487</v>
      </c>
      <c r="M90" s="51">
        <f t="shared" si="12"/>
        <v>0.16415854597680513</v>
      </c>
    </row>
    <row r="91" spans="1:13" s="23" customFormat="1" ht="16.5" x14ac:dyDescent="0.25">
      <c r="A91" s="108"/>
      <c r="B91" s="107" t="str">
        <f>+Estado!A125</f>
        <v>E-20204</v>
      </c>
      <c r="C91" s="105" t="str">
        <f>IFERROR(VLOOKUP(B91,Estado!$A$9:$B$505,2,FALSE),0)</f>
        <v>ALIM. PARA ANIMALES</v>
      </c>
      <c r="D91" s="16">
        <f>SUMIF(Estado!$A$9:$A$368,$B91,Estado!$C$9:$C$368)</f>
        <v>17529000</v>
      </c>
      <c r="E91" s="16">
        <f>SUMIF(Estado!$A$9:$A$368,$B91,Estado!$D$9:$D$368)</f>
        <v>17529000</v>
      </c>
      <c r="F91" s="16">
        <f>SUMIF(Estado!$A$9:$A$368,$B91,Estado!$E$9:$E$368)</f>
        <v>0</v>
      </c>
      <c r="G91" s="16">
        <f>SUMIF(Estado!$A$9:$A$368,$B91,Estado!$G$9:$G$368)</f>
        <v>0</v>
      </c>
      <c r="H91" s="16">
        <f>SUMIF(Estado!$A$9:$A$368,$B91,Estado!$I$9:$I$368)</f>
        <v>0</v>
      </c>
      <c r="I91" s="16">
        <f>SUMIF(Estado!$A$9:$A$368,$B91,Estado!$K$9:$K$368)</f>
        <v>17495475</v>
      </c>
      <c r="J91" s="16">
        <f t="shared" ref="J91" si="15">SUM(G91:I91)</f>
        <v>17495475</v>
      </c>
      <c r="K91" s="16">
        <f>SUMIF(Estado!$A$9:$A$368,$B91,Estado!$O$9:$O$368)</f>
        <v>33525</v>
      </c>
      <c r="L91" s="51">
        <f t="shared" ref="L91" si="16">+IFERROR(SUM(G91:I91)/D91,0)</f>
        <v>0.99808745507444807</v>
      </c>
      <c r="M91" s="51">
        <f t="shared" ref="M91" si="17">+IFERROR(+K91/D91,0)</f>
        <v>1.9125449255519426E-3</v>
      </c>
    </row>
    <row r="92" spans="1:13" s="24" customFormat="1" ht="16.5" x14ac:dyDescent="0.25">
      <c r="A92" s="110"/>
      <c r="B92" s="107" t="str">
        <f>+Estado!A126</f>
        <v>E-203</v>
      </c>
      <c r="C92" s="105" t="str">
        <f>IFERROR(VLOOKUP(B92,Estado!$A$9:$B$505,2,FALSE),0)</f>
        <v>MATER P.CONST Y MANT</v>
      </c>
      <c r="D92" s="16">
        <f>SUMIF(Estado!$A$9:$A$368,$B92,Estado!$C$9:$C$368)</f>
        <v>922227245</v>
      </c>
      <c r="E92" s="16">
        <f>SUMIF(Estado!$A$9:$A$368,$B92,Estado!$D$9:$D$368)</f>
        <v>922227245</v>
      </c>
      <c r="F92" s="16">
        <f>SUMIF(Estado!$A$9:$A$368,$B92,Estado!$E$9:$E$368)</f>
        <v>34844733.579999998</v>
      </c>
      <c r="G92" s="16">
        <f>SUMIF(Estado!$A$9:$A$368,$B92,Estado!$G$9:$G$368)</f>
        <v>72823780.430000007</v>
      </c>
      <c r="H92" s="16">
        <f>SUMIF(Estado!$A$9:$A$368,$B92,Estado!$I$9:$I$368)</f>
        <v>0</v>
      </c>
      <c r="I92" s="16">
        <f>SUMIF(Estado!$A$9:$A$368,$B92,Estado!$K$9:$K$368)</f>
        <v>688594948.35000002</v>
      </c>
      <c r="J92" s="16">
        <f t="shared" ref="J92:J102" si="18">SUM(G92:I92)</f>
        <v>761418728.77999997</v>
      </c>
      <c r="K92" s="16">
        <f>SUMIF(Estado!$A$9:$A$368,$B92,Estado!$O$9:$O$368)</f>
        <v>125963782.64</v>
      </c>
      <c r="L92" s="51">
        <f t="shared" ref="L92:L102" si="19">+IFERROR(SUM(G92:I92)/D92,0)</f>
        <v>0.8256302694462252</v>
      </c>
      <c r="M92" s="51">
        <f t="shared" ref="M92:M102" si="20">+IFERROR(+K92/D92,0)</f>
        <v>0.13658649028526587</v>
      </c>
    </row>
    <row r="93" spans="1:13" s="24" customFormat="1" ht="16.5" x14ac:dyDescent="0.25">
      <c r="A93" s="110"/>
      <c r="B93" s="107" t="str">
        <f>+Estado!A127</f>
        <v>E-20301</v>
      </c>
      <c r="C93" s="105" t="str">
        <f>IFERROR(VLOOKUP(B93,Estado!$A$9:$B$505,2,FALSE),0)</f>
        <v>MATERIALES YPROD MET</v>
      </c>
      <c r="D93" s="16">
        <f>SUMIF(Estado!$A$9:$A$368,$B93,Estado!$C$9:$C$368)</f>
        <v>265795119</v>
      </c>
      <c r="E93" s="16">
        <f>SUMIF(Estado!$A$9:$A$368,$B93,Estado!$D$9:$D$368)</f>
        <v>265795119</v>
      </c>
      <c r="F93" s="16">
        <f>SUMIF(Estado!$A$9:$A$368,$B93,Estado!$E$9:$E$368)</f>
        <v>0</v>
      </c>
      <c r="G93" s="16">
        <f>SUMIF(Estado!$A$9:$A$368,$B93,Estado!$G$9:$G$368)</f>
        <v>16531441.5</v>
      </c>
      <c r="H93" s="16">
        <f>SUMIF(Estado!$A$9:$A$368,$B93,Estado!$I$9:$I$368)</f>
        <v>0</v>
      </c>
      <c r="I93" s="16">
        <f>SUMIF(Estado!$A$9:$A$368,$B93,Estado!$K$9:$K$368)</f>
        <v>238452100.24000001</v>
      </c>
      <c r="J93" s="16">
        <f t="shared" si="18"/>
        <v>254983541.74000001</v>
      </c>
      <c r="K93" s="16">
        <f>SUMIF(Estado!$A$9:$A$368,$B93,Estado!$O$9:$O$368)</f>
        <v>10811577.26</v>
      </c>
      <c r="L93" s="51">
        <f t="shared" si="19"/>
        <v>0.95932364258351943</v>
      </c>
      <c r="M93" s="51">
        <f t="shared" si="20"/>
        <v>4.0676357416480624E-2</v>
      </c>
    </row>
    <row r="94" spans="1:13" s="24" customFormat="1" ht="16.5" x14ac:dyDescent="0.25">
      <c r="A94" s="110"/>
      <c r="B94" s="107" t="str">
        <f>+Estado!A128</f>
        <v>E-20302</v>
      </c>
      <c r="C94" s="105" t="str">
        <f>IFERROR(VLOOKUP(B94,Estado!$A$9:$B$505,2,FALSE),0)</f>
        <v>MAT Y PROD.MIN.Y ASF</v>
      </c>
      <c r="D94" s="16">
        <f>SUMIF(Estado!$A$9:$A$368,$B94,Estado!$C$9:$C$368)</f>
        <v>62539000</v>
      </c>
      <c r="E94" s="16">
        <f>SUMIF(Estado!$A$9:$A$368,$B94,Estado!$D$9:$D$368)</f>
        <v>62539000</v>
      </c>
      <c r="F94" s="16">
        <f>SUMIF(Estado!$A$9:$A$368,$B94,Estado!$E$9:$E$368)</f>
        <v>0</v>
      </c>
      <c r="G94" s="16">
        <f>SUMIF(Estado!$A$9:$A$368,$B94,Estado!$G$9:$G$368)</f>
        <v>21350000</v>
      </c>
      <c r="H94" s="16">
        <f>SUMIF(Estado!$A$9:$A$368,$B94,Estado!$I$9:$I$368)</f>
        <v>0</v>
      </c>
      <c r="I94" s="16">
        <f>SUMIF(Estado!$A$9:$A$368,$B94,Estado!$K$9:$K$368)</f>
        <v>29659621.899999999</v>
      </c>
      <c r="J94" s="16">
        <f t="shared" si="18"/>
        <v>51009621.899999999</v>
      </c>
      <c r="K94" s="16">
        <f>SUMIF(Estado!$A$9:$A$368,$B94,Estado!$O$9:$O$368)</f>
        <v>11529378.1</v>
      </c>
      <c r="L94" s="51">
        <f t="shared" si="19"/>
        <v>0.81564498792753315</v>
      </c>
      <c r="M94" s="51">
        <f t="shared" si="20"/>
        <v>0.18435501207246677</v>
      </c>
    </row>
    <row r="95" spans="1:13" s="24" customFormat="1" ht="16.5" x14ac:dyDescent="0.25">
      <c r="A95" s="110"/>
      <c r="B95" s="107" t="str">
        <f>+Estado!A129</f>
        <v>E-20303</v>
      </c>
      <c r="C95" s="105" t="str">
        <f>IFERROR(VLOOKUP(B95,Estado!$A$9:$B$505,2,FALSE),0)</f>
        <v>MADERA Y SUS DERIV</v>
      </c>
      <c r="D95" s="16">
        <f>SUMIF(Estado!$A$9:$A$368,$B95,Estado!$C$9:$C$368)</f>
        <v>119762827</v>
      </c>
      <c r="E95" s="16">
        <f>SUMIF(Estado!$A$9:$A$368,$B95,Estado!$D$9:$D$368)</f>
        <v>119762827</v>
      </c>
      <c r="F95" s="16">
        <f>SUMIF(Estado!$A$9:$A$368,$B95,Estado!$E$9:$E$368)</f>
        <v>0</v>
      </c>
      <c r="G95" s="16">
        <f>SUMIF(Estado!$A$9:$A$368,$B95,Estado!$G$9:$G$368)</f>
        <v>34681337.5</v>
      </c>
      <c r="H95" s="16">
        <f>SUMIF(Estado!$A$9:$A$368,$B95,Estado!$I$9:$I$368)</f>
        <v>0</v>
      </c>
      <c r="I95" s="16">
        <f>SUMIF(Estado!$A$9:$A$368,$B95,Estado!$K$9:$K$368)</f>
        <v>76608639.5</v>
      </c>
      <c r="J95" s="16">
        <f t="shared" si="18"/>
        <v>111289977</v>
      </c>
      <c r="K95" s="16">
        <f>SUMIF(Estado!$A$9:$A$368,$B95,Estado!$O$9:$O$368)</f>
        <v>8472850</v>
      </c>
      <c r="L95" s="51">
        <f t="shared" si="19"/>
        <v>0.92925308952501595</v>
      </c>
      <c r="M95" s="51">
        <f t="shared" si="20"/>
        <v>7.0746910474984034E-2</v>
      </c>
    </row>
    <row r="96" spans="1:13" s="24" customFormat="1" ht="16.5" x14ac:dyDescent="0.25">
      <c r="A96" s="110"/>
      <c r="B96" s="107" t="str">
        <f>+Estado!A130</f>
        <v>E-20304</v>
      </c>
      <c r="C96" s="105" t="str">
        <f>IFERROR(VLOOKUP(B96,Estado!$A$9:$B$505,2,FALSE),0)</f>
        <v>MAT.YPROD.ELÉC,TEL.C</v>
      </c>
      <c r="D96" s="16">
        <f>SUMIF(Estado!$A$9:$A$368,$B96,Estado!$C$9:$C$368)</f>
        <v>280322339</v>
      </c>
      <c r="E96" s="16">
        <f>SUMIF(Estado!$A$9:$A$368,$B96,Estado!$D$9:$D$368)</f>
        <v>280322339</v>
      </c>
      <c r="F96" s="16">
        <f>SUMIF(Estado!$A$9:$A$368,$B96,Estado!$E$9:$E$368)</f>
        <v>0</v>
      </c>
      <c r="G96" s="16">
        <f>SUMIF(Estado!$A$9:$A$368,$B96,Estado!$G$9:$G$368)</f>
        <v>261001.43</v>
      </c>
      <c r="H96" s="16">
        <f>SUMIF(Estado!$A$9:$A$368,$B96,Estado!$I$9:$I$368)</f>
        <v>0</v>
      </c>
      <c r="I96" s="16">
        <f>SUMIF(Estado!$A$9:$A$368,$B96,Estado!$K$9:$K$368)</f>
        <v>243819759.56</v>
      </c>
      <c r="J96" s="16">
        <f t="shared" si="18"/>
        <v>244080760.99000001</v>
      </c>
      <c r="K96" s="16">
        <f>SUMIF(Estado!$A$9:$A$368,$B96,Estado!$O$9:$O$368)</f>
        <v>36241578.010000005</v>
      </c>
      <c r="L96" s="51">
        <f t="shared" si="19"/>
        <v>0.87071462752741946</v>
      </c>
      <c r="M96" s="51">
        <f t="shared" si="20"/>
        <v>0.1292853724725806</v>
      </c>
    </row>
    <row r="97" spans="1:13" s="24" customFormat="1" ht="16.5" x14ac:dyDescent="0.25">
      <c r="A97" s="110"/>
      <c r="B97" s="107" t="str">
        <f>+Estado!A131</f>
        <v>E-20305</v>
      </c>
      <c r="C97" s="105" t="str">
        <f>IFERROR(VLOOKUP(B97,Estado!$A$9:$B$505,2,FALSE),0)</f>
        <v>MATER. Y PROD VIDRIO</v>
      </c>
      <c r="D97" s="16">
        <f>SUMIF(Estado!$A$9:$A$368,$B97,Estado!$C$9:$C$368)</f>
        <v>2842000</v>
      </c>
      <c r="E97" s="16">
        <f>SUMIF(Estado!$A$9:$A$368,$B97,Estado!$D$9:$D$368)</f>
        <v>2842000</v>
      </c>
      <c r="F97" s="16">
        <f>SUMIF(Estado!$A$9:$A$368,$B97,Estado!$E$9:$E$368)</f>
        <v>0</v>
      </c>
      <c r="G97" s="16">
        <f>SUMIF(Estado!$A$9:$A$368,$B97,Estado!$G$9:$G$368)</f>
        <v>0</v>
      </c>
      <c r="H97" s="16">
        <f>SUMIF(Estado!$A$9:$A$368,$B97,Estado!$I$9:$I$368)</f>
        <v>0</v>
      </c>
      <c r="I97" s="16">
        <f>SUMIF(Estado!$A$9:$A$368,$B97,Estado!$K$9:$K$368)</f>
        <v>2780760</v>
      </c>
      <c r="J97" s="16">
        <f t="shared" si="18"/>
        <v>2780760</v>
      </c>
      <c r="K97" s="16">
        <f>SUMIF(Estado!$A$9:$A$368,$B97,Estado!$O$9:$O$368)</f>
        <v>61240</v>
      </c>
      <c r="L97" s="51">
        <f t="shared" si="19"/>
        <v>0.9784517945109078</v>
      </c>
      <c r="M97" s="51">
        <f t="shared" si="20"/>
        <v>2.1548205489092188E-2</v>
      </c>
    </row>
    <row r="98" spans="1:13" s="24" customFormat="1" ht="16.5" x14ac:dyDescent="0.25">
      <c r="A98" s="110"/>
      <c r="B98" s="107" t="str">
        <f>+Estado!A132</f>
        <v>E-20306</v>
      </c>
      <c r="C98" s="105" t="str">
        <f>IFERROR(VLOOKUP(B98,Estado!$A$9:$B$505,2,FALSE),0)</f>
        <v>MAT. Y PROD PLÁSTICO</v>
      </c>
      <c r="D98" s="16">
        <f>SUMIF(Estado!$A$9:$A$368,$B98,Estado!$C$9:$C$368)</f>
        <v>114632000</v>
      </c>
      <c r="E98" s="16">
        <f>SUMIF(Estado!$A$9:$A$368,$B98,Estado!$D$9:$D$368)</f>
        <v>114632000</v>
      </c>
      <c r="F98" s="16">
        <f>SUMIF(Estado!$A$9:$A$368,$B98,Estado!$E$9:$E$368)</f>
        <v>34844733.579999998</v>
      </c>
      <c r="G98" s="16">
        <f>SUMIF(Estado!$A$9:$A$368,$B98,Estado!$G$9:$G$368)</f>
        <v>0</v>
      </c>
      <c r="H98" s="16">
        <f>SUMIF(Estado!$A$9:$A$368,$B98,Estado!$I$9:$I$368)</f>
        <v>0</v>
      </c>
      <c r="I98" s="16">
        <f>SUMIF(Estado!$A$9:$A$368,$B98,Estado!$K$9:$K$368)</f>
        <v>46018056.799999997</v>
      </c>
      <c r="J98" s="16">
        <f t="shared" si="18"/>
        <v>46018056.799999997</v>
      </c>
      <c r="K98" s="16">
        <f>SUMIF(Estado!$A$9:$A$368,$B98,Estado!$O$9:$O$368)</f>
        <v>33769209.620000005</v>
      </c>
      <c r="L98" s="51">
        <f t="shared" si="19"/>
        <v>0.40144162886454043</v>
      </c>
      <c r="M98" s="51">
        <f t="shared" si="20"/>
        <v>0.29458798258775915</v>
      </c>
    </row>
    <row r="99" spans="1:13" s="24" customFormat="1" ht="16.5" x14ac:dyDescent="0.25">
      <c r="A99" s="110"/>
      <c r="B99" s="107" t="str">
        <f>+Estado!A133</f>
        <v>E-20399</v>
      </c>
      <c r="C99" s="105" t="str">
        <f>IFERROR(VLOOKUP(B99,Estado!$A$9:$B$505,2,FALSE),0)</f>
        <v>OTR.MAT.YP.USO CONST</v>
      </c>
      <c r="D99" s="16">
        <f>SUMIF(Estado!$A$9:$A$368,$B99,Estado!$C$9:$C$368)</f>
        <v>76333960</v>
      </c>
      <c r="E99" s="16">
        <f>SUMIF(Estado!$A$9:$A$368,$B99,Estado!$D$9:$D$368)</f>
        <v>76333960</v>
      </c>
      <c r="F99" s="16">
        <f>SUMIF(Estado!$A$9:$A$368,$B99,Estado!$E$9:$E$368)</f>
        <v>0</v>
      </c>
      <c r="G99" s="16">
        <f>SUMIF(Estado!$A$9:$A$368,$B99,Estado!$G$9:$G$368)</f>
        <v>0</v>
      </c>
      <c r="H99" s="16">
        <f>SUMIF(Estado!$A$9:$A$368,$B99,Estado!$I$9:$I$368)</f>
        <v>0</v>
      </c>
      <c r="I99" s="16">
        <f>SUMIF(Estado!$A$9:$A$368,$B99,Estado!$K$9:$K$368)</f>
        <v>51256010.350000001</v>
      </c>
      <c r="J99" s="16">
        <f t="shared" si="18"/>
        <v>51256010.350000001</v>
      </c>
      <c r="K99" s="16">
        <f>SUMIF(Estado!$A$9:$A$368,$B99,Estado!$O$9:$O$368)</f>
        <v>25077949.649999999</v>
      </c>
      <c r="L99" s="51">
        <f t="shared" si="19"/>
        <v>0.67147060561249539</v>
      </c>
      <c r="M99" s="51">
        <f t="shared" si="20"/>
        <v>0.32852939438750456</v>
      </c>
    </row>
    <row r="100" spans="1:13" s="24" customFormat="1" ht="16.5" x14ac:dyDescent="0.25">
      <c r="A100" s="110"/>
      <c r="B100" s="107" t="str">
        <f>+Estado!A134</f>
        <v>E-204</v>
      </c>
      <c r="C100" s="105" t="str">
        <f>IFERROR(VLOOKUP(B100,Estado!$A$9:$B$505,2,FALSE),0)</f>
        <v>HERRAM REPUE Y ACCES</v>
      </c>
      <c r="D100" s="16">
        <f>SUMIF(Estado!$A$9:$A$368,$B100,Estado!$C$9:$C$368)</f>
        <v>255874378</v>
      </c>
      <c r="E100" s="16">
        <f>SUMIF(Estado!$A$9:$A$368,$B100,Estado!$D$9:$D$368)</f>
        <v>255874378</v>
      </c>
      <c r="F100" s="16">
        <f>SUMIF(Estado!$A$9:$A$368,$B100,Estado!$E$9:$E$368)</f>
        <v>15006602</v>
      </c>
      <c r="G100" s="16">
        <f>SUMIF(Estado!$A$9:$A$368,$B100,Estado!$G$9:$G$368)</f>
        <v>13364836.119999999</v>
      </c>
      <c r="H100" s="16">
        <f>SUMIF(Estado!$A$9:$A$368,$B100,Estado!$I$9:$I$368)</f>
        <v>0</v>
      </c>
      <c r="I100" s="16">
        <f>SUMIF(Estado!$A$9:$A$368,$B100,Estado!$K$9:$K$368)</f>
        <v>202734040.44999999</v>
      </c>
      <c r="J100" s="16">
        <f t="shared" si="18"/>
        <v>216098876.56999999</v>
      </c>
      <c r="K100" s="16">
        <f>SUMIF(Estado!$A$9:$A$368,$B100,Estado!$O$9:$O$368)</f>
        <v>24768899.43</v>
      </c>
      <c r="L100" s="51">
        <f t="shared" si="19"/>
        <v>0.84455066685105917</v>
      </c>
      <c r="M100" s="51">
        <f t="shared" si="20"/>
        <v>9.6801014715119302E-2</v>
      </c>
    </row>
    <row r="101" spans="1:13" s="24" customFormat="1" ht="16.5" x14ac:dyDescent="0.25">
      <c r="A101" s="110"/>
      <c r="B101" s="107" t="str">
        <f>+Estado!A135</f>
        <v>E-20401</v>
      </c>
      <c r="C101" s="105" t="str">
        <f>IFERROR(VLOOKUP(B101,Estado!$A$9:$B$505,2,FALSE),0)</f>
        <v>HERRAM.E INSTRUMENTO</v>
      </c>
      <c r="D101" s="16">
        <f>SUMIF(Estado!$A$9:$A$368,$B101,Estado!$C$9:$C$368)</f>
        <v>90314843</v>
      </c>
      <c r="E101" s="16">
        <f>SUMIF(Estado!$A$9:$A$368,$B101,Estado!$D$9:$D$368)</f>
        <v>90314843</v>
      </c>
      <c r="F101" s="16">
        <f>SUMIF(Estado!$A$9:$A$368,$B101,Estado!$E$9:$E$368)</f>
        <v>15006602</v>
      </c>
      <c r="G101" s="16">
        <f>SUMIF(Estado!$A$9:$A$368,$B101,Estado!$G$9:$G$368)</f>
        <v>1104997.52</v>
      </c>
      <c r="H101" s="16">
        <f>SUMIF(Estado!$A$9:$A$368,$B101,Estado!$I$9:$I$368)</f>
        <v>0</v>
      </c>
      <c r="I101" s="16">
        <f>SUMIF(Estado!$A$9:$A$368,$B101,Estado!$K$9:$K$368)</f>
        <v>59825101.390000001</v>
      </c>
      <c r="J101" s="16">
        <f t="shared" si="18"/>
        <v>60930098.910000004</v>
      </c>
      <c r="K101" s="16">
        <f>SUMIF(Estado!$A$9:$A$368,$B101,Estado!$O$9:$O$368)</f>
        <v>14378142.09</v>
      </c>
      <c r="L101" s="51">
        <f t="shared" si="19"/>
        <v>0.67464103226088767</v>
      </c>
      <c r="M101" s="51">
        <f t="shared" si="20"/>
        <v>0.15920021130967366</v>
      </c>
    </row>
    <row r="102" spans="1:13" s="24" customFormat="1" ht="16.5" x14ac:dyDescent="0.25">
      <c r="A102" s="110"/>
      <c r="B102" s="107" t="str">
        <f>+Estado!A136</f>
        <v>E-20402</v>
      </c>
      <c r="C102" s="105" t="str">
        <f>IFERROR(VLOOKUP(B102,Estado!$A$9:$B$505,2,FALSE),0)</f>
        <v>REP.Y ACCESORIOS</v>
      </c>
      <c r="D102" s="16">
        <f>SUMIF(Estado!$A$9:$A$368,$B102,Estado!$C$9:$C$368)</f>
        <v>165559535</v>
      </c>
      <c r="E102" s="16">
        <f>SUMIF(Estado!$A$9:$A$368,$B102,Estado!$D$9:$D$368)</f>
        <v>165559535</v>
      </c>
      <c r="F102" s="16">
        <f>SUMIF(Estado!$A$9:$A$368,$B102,Estado!$E$9:$E$368)</f>
        <v>0</v>
      </c>
      <c r="G102" s="16">
        <f>SUMIF(Estado!$A$9:$A$368,$B102,Estado!$G$9:$G$368)</f>
        <v>12259838.6</v>
      </c>
      <c r="H102" s="16">
        <f>SUMIF(Estado!$A$9:$A$368,$B102,Estado!$I$9:$I$368)</f>
        <v>0</v>
      </c>
      <c r="I102" s="16">
        <f>SUMIF(Estado!$A$9:$A$368,$B102,Estado!$K$9:$K$368)</f>
        <v>142908939.06</v>
      </c>
      <c r="J102" s="16">
        <f t="shared" si="18"/>
        <v>155168777.66</v>
      </c>
      <c r="K102" s="16">
        <f>SUMIF(Estado!$A$9:$A$368,$B102,Estado!$O$9:$O$368)</f>
        <v>10390757.34</v>
      </c>
      <c r="L102" s="51">
        <f t="shared" si="19"/>
        <v>0.9372385447929652</v>
      </c>
      <c r="M102" s="51">
        <f t="shared" si="20"/>
        <v>6.2761455207034744E-2</v>
      </c>
    </row>
    <row r="103" spans="1:13" s="24" customFormat="1" ht="16.5" x14ac:dyDescent="0.25">
      <c r="A103" s="110"/>
      <c r="B103" s="107" t="str">
        <f>+Estado!A137</f>
        <v>E-299</v>
      </c>
      <c r="C103" s="105" t="str">
        <f>IFERROR(VLOOKUP(B103,Estado!$A$9:$B$505,2,FALSE),0)</f>
        <v>ÚTILES MAT Y SUM DIV</v>
      </c>
      <c r="D103" s="16">
        <f>SUMIF(Estado!$A$9:$A$368,$B103,Estado!$C$9:$C$368)</f>
        <v>2777119729</v>
      </c>
      <c r="E103" s="16">
        <f>SUMIF(Estado!$A$9:$A$368,$B103,Estado!$D$9:$D$368)</f>
        <v>2777119729</v>
      </c>
      <c r="F103" s="16">
        <f>SUMIF(Estado!$A$9:$A$368,$B103,Estado!$E$9:$E$368)</f>
        <v>62318649.700000003</v>
      </c>
      <c r="G103" s="16">
        <f>SUMIF(Estado!$A$9:$A$368,$B103,Estado!$G$9:$G$368)</f>
        <v>104454512.20999999</v>
      </c>
      <c r="H103" s="16">
        <f>SUMIF(Estado!$A$9:$A$368,$B103,Estado!$I$9:$I$368)</f>
        <v>0</v>
      </c>
      <c r="I103" s="16">
        <f>SUMIF(Estado!$A$9:$A$368,$B103,Estado!$K$9:$K$368)</f>
        <v>2448712592.1600003</v>
      </c>
      <c r="J103" s="16">
        <f t="shared" ref="J103:J111" si="21">SUM(G103:I103)</f>
        <v>2553167104.3700004</v>
      </c>
      <c r="K103" s="16">
        <f>SUMIF(Estado!$A$9:$A$368,$B103,Estado!$O$9:$O$368)</f>
        <v>161633974.92999998</v>
      </c>
      <c r="L103" s="51">
        <f t="shared" ref="L103:L111" si="22">+IFERROR(SUM(G103:I103)/D103,0)</f>
        <v>0.91935795122861275</v>
      </c>
      <c r="M103" s="51">
        <f t="shared" ref="M103:M111" si="23">+IFERROR(+K103/D103,0)</f>
        <v>5.8202018891062357E-2</v>
      </c>
    </row>
    <row r="104" spans="1:13" s="24" customFormat="1" ht="16.5" x14ac:dyDescent="0.25">
      <c r="A104" s="110"/>
      <c r="B104" s="107" t="str">
        <f>+Estado!A138</f>
        <v>E-29901</v>
      </c>
      <c r="C104" s="105" t="str">
        <f>IFERROR(VLOOKUP(B104,Estado!$A$9:$B$505,2,FALSE),0)</f>
        <v>ÚT.Y MAT.OF.Y COMP.</v>
      </c>
      <c r="D104" s="16">
        <f>SUMIF(Estado!$A$9:$A$368,$B104,Estado!$C$9:$C$368)</f>
        <v>28079013</v>
      </c>
      <c r="E104" s="16">
        <f>SUMIF(Estado!$A$9:$A$368,$B104,Estado!$D$9:$D$368)</f>
        <v>28079013</v>
      </c>
      <c r="F104" s="16">
        <f>SUMIF(Estado!$A$9:$A$368,$B104,Estado!$E$9:$E$368)</f>
        <v>0</v>
      </c>
      <c r="G104" s="16">
        <f>SUMIF(Estado!$A$9:$A$368,$B104,Estado!$G$9:$G$368)</f>
        <v>3281213.64</v>
      </c>
      <c r="H104" s="16">
        <f>SUMIF(Estado!$A$9:$A$368,$B104,Estado!$I$9:$I$368)</f>
        <v>0</v>
      </c>
      <c r="I104" s="16">
        <f>SUMIF(Estado!$A$9:$A$368,$B104,Estado!$K$9:$K$368)</f>
        <v>12430892.16</v>
      </c>
      <c r="J104" s="16">
        <f t="shared" si="21"/>
        <v>15712105.800000001</v>
      </c>
      <c r="K104" s="16">
        <f>SUMIF(Estado!$A$9:$A$368,$B104,Estado!$O$9:$O$368)</f>
        <v>12366907.199999999</v>
      </c>
      <c r="L104" s="51">
        <f t="shared" si="22"/>
        <v>0.55956759591229221</v>
      </c>
      <c r="M104" s="51">
        <f t="shared" si="23"/>
        <v>0.44043240408770773</v>
      </c>
    </row>
    <row r="105" spans="1:13" s="24" customFormat="1" ht="16.5" x14ac:dyDescent="0.25">
      <c r="A105" s="110"/>
      <c r="B105" s="107" t="str">
        <f>+Estado!A139</f>
        <v>E-29902</v>
      </c>
      <c r="C105" s="105" t="str">
        <f>IFERROR(VLOOKUP(B105,Estado!$A$9:$B$505,2,FALSE),0)</f>
        <v>UT.Y MAT.MÉD,H.Y INV</v>
      </c>
      <c r="D105" s="16">
        <f>SUMIF(Estado!$A$9:$A$368,$B105,Estado!$C$9:$C$368)</f>
        <v>18629900</v>
      </c>
      <c r="E105" s="16">
        <f>SUMIF(Estado!$A$9:$A$368,$B105,Estado!$D$9:$D$368)</f>
        <v>18629900</v>
      </c>
      <c r="F105" s="16">
        <f>SUMIF(Estado!$A$9:$A$368,$B105,Estado!$E$9:$E$368)</f>
        <v>7380460.8499999996</v>
      </c>
      <c r="G105" s="16">
        <f>SUMIF(Estado!$A$9:$A$368,$B105,Estado!$G$9:$G$368)</f>
        <v>1688522.36</v>
      </c>
      <c r="H105" s="16">
        <f>SUMIF(Estado!$A$9:$A$368,$B105,Estado!$I$9:$I$368)</f>
        <v>0</v>
      </c>
      <c r="I105" s="16">
        <f>SUMIF(Estado!$A$9:$A$368,$B105,Estado!$K$9:$K$368)</f>
        <v>6112387.0099999998</v>
      </c>
      <c r="J105" s="16">
        <f t="shared" si="21"/>
        <v>7800909.3700000001</v>
      </c>
      <c r="K105" s="16">
        <f>SUMIF(Estado!$A$9:$A$368,$B105,Estado!$O$9:$O$368)</f>
        <v>3448529.7800000003</v>
      </c>
      <c r="L105" s="51">
        <f t="shared" si="22"/>
        <v>0.41873060885995095</v>
      </c>
      <c r="M105" s="51">
        <f t="shared" si="23"/>
        <v>0.18510726198208258</v>
      </c>
    </row>
    <row r="106" spans="1:13" s="24" customFormat="1" ht="16.5" x14ac:dyDescent="0.25">
      <c r="A106" s="110"/>
      <c r="B106" s="107" t="str">
        <f>+Estado!A140</f>
        <v>E-29903</v>
      </c>
      <c r="C106" s="105" t="str">
        <f>IFERROR(VLOOKUP(B106,Estado!$A$9:$B$505,2,FALSE),0)</f>
        <v>PROD.PAPEL,CART.EIMP</v>
      </c>
      <c r="D106" s="16">
        <f>SUMIF(Estado!$A$9:$A$368,$B106,Estado!$C$9:$C$368)</f>
        <v>258644265</v>
      </c>
      <c r="E106" s="16">
        <f>SUMIF(Estado!$A$9:$A$368,$B106,Estado!$D$9:$D$368)</f>
        <v>258644265</v>
      </c>
      <c r="F106" s="16">
        <f>SUMIF(Estado!$A$9:$A$368,$B106,Estado!$E$9:$E$368)</f>
        <v>0</v>
      </c>
      <c r="G106" s="16">
        <f>SUMIF(Estado!$A$9:$A$368,$B106,Estado!$G$9:$G$368)</f>
        <v>15149597.880000001</v>
      </c>
      <c r="H106" s="16">
        <f>SUMIF(Estado!$A$9:$A$368,$B106,Estado!$I$9:$I$368)</f>
        <v>0</v>
      </c>
      <c r="I106" s="16">
        <f>SUMIF(Estado!$A$9:$A$368,$B106,Estado!$K$9:$K$368)</f>
        <v>164170810.58000001</v>
      </c>
      <c r="J106" s="16">
        <f t="shared" si="21"/>
        <v>179320408.46000001</v>
      </c>
      <c r="K106" s="16">
        <f>SUMIF(Estado!$A$9:$A$368,$B106,Estado!$O$9:$O$368)</f>
        <v>79323856.539999992</v>
      </c>
      <c r="L106" s="51">
        <f t="shared" si="22"/>
        <v>0.69330904537937466</v>
      </c>
      <c r="M106" s="51">
        <f t="shared" si="23"/>
        <v>0.30669095462062534</v>
      </c>
    </row>
    <row r="107" spans="1:13" s="24" customFormat="1" ht="16.5" x14ac:dyDescent="0.25">
      <c r="A107" s="110"/>
      <c r="B107" s="107" t="str">
        <f>+Estado!A141</f>
        <v>E-29904</v>
      </c>
      <c r="C107" s="105" t="str">
        <f>IFERROR(VLOOKUP(B107,Estado!$A$9:$B$505,2,FALSE),0)</f>
        <v>TEXTILES Y VESTUARIO</v>
      </c>
      <c r="D107" s="16">
        <f>SUMIF(Estado!$A$9:$A$368,$B107,Estado!$C$9:$C$368)</f>
        <v>1043528910</v>
      </c>
      <c r="E107" s="16">
        <f>SUMIF(Estado!$A$9:$A$368,$B107,Estado!$D$9:$D$368)</f>
        <v>1043528910</v>
      </c>
      <c r="F107" s="16">
        <f>SUMIF(Estado!$A$9:$A$368,$B107,Estado!$E$9:$E$368)</f>
        <v>44671508.850000001</v>
      </c>
      <c r="G107" s="16">
        <f>SUMIF(Estado!$A$9:$A$368,$B107,Estado!$G$9:$G$368)</f>
        <v>69580</v>
      </c>
      <c r="H107" s="16">
        <f>SUMIF(Estado!$A$9:$A$368,$B107,Estado!$I$9:$I$368)</f>
        <v>0</v>
      </c>
      <c r="I107" s="16">
        <f>SUMIF(Estado!$A$9:$A$368,$B107,Estado!$K$9:$K$368)</f>
        <v>995815312.78999996</v>
      </c>
      <c r="J107" s="16">
        <f t="shared" si="21"/>
        <v>995884892.78999996</v>
      </c>
      <c r="K107" s="16">
        <f>SUMIF(Estado!$A$9:$A$368,$B107,Estado!$O$9:$O$368)</f>
        <v>2972508.36</v>
      </c>
      <c r="L107" s="51">
        <f t="shared" si="22"/>
        <v>0.95434336628967942</v>
      </c>
      <c r="M107" s="51">
        <f t="shared" si="23"/>
        <v>2.8485155816143129E-3</v>
      </c>
    </row>
    <row r="108" spans="1:13" s="24" customFormat="1" ht="16.5" x14ac:dyDescent="0.25">
      <c r="A108" s="110"/>
      <c r="B108" s="107" t="str">
        <f>+Estado!A142</f>
        <v>E-29905</v>
      </c>
      <c r="C108" s="105" t="str">
        <f>IFERROR(VLOOKUP(B108,Estado!$A$9:$B$505,2,FALSE),0)</f>
        <v>ÚTILES Y MATER.LIMP</v>
      </c>
      <c r="D108" s="16">
        <f>SUMIF(Estado!$A$9:$A$368,$B108,Estado!$C$9:$C$368)</f>
        <v>257353117</v>
      </c>
      <c r="E108" s="16">
        <f>SUMIF(Estado!$A$9:$A$368,$B108,Estado!$D$9:$D$368)</f>
        <v>257353117</v>
      </c>
      <c r="F108" s="16">
        <f>SUMIF(Estado!$A$9:$A$368,$B108,Estado!$E$9:$E$368)</f>
        <v>0</v>
      </c>
      <c r="G108" s="16">
        <f>SUMIF(Estado!$A$9:$A$368,$B108,Estado!$G$9:$G$368)</f>
        <v>17394876.309999999</v>
      </c>
      <c r="H108" s="16">
        <f>SUMIF(Estado!$A$9:$A$368,$B108,Estado!$I$9:$I$368)</f>
        <v>0</v>
      </c>
      <c r="I108" s="16">
        <f>SUMIF(Estado!$A$9:$A$368,$B108,Estado!$K$9:$K$368)</f>
        <v>229455599.51999998</v>
      </c>
      <c r="J108" s="16">
        <f t="shared" si="21"/>
        <v>246850475.82999998</v>
      </c>
      <c r="K108" s="16">
        <f>SUMIF(Estado!$A$9:$A$368,$B108,Estado!$O$9:$O$368)</f>
        <v>10502641.17</v>
      </c>
      <c r="L108" s="51">
        <f t="shared" si="22"/>
        <v>0.95918976504955245</v>
      </c>
      <c r="M108" s="51">
        <f t="shared" si="23"/>
        <v>4.0810234950447478E-2</v>
      </c>
    </row>
    <row r="109" spans="1:13" s="24" customFormat="1" ht="16.5" x14ac:dyDescent="0.25">
      <c r="A109" s="110"/>
      <c r="B109" s="107" t="str">
        <f>+Estado!A143</f>
        <v>E-29906</v>
      </c>
      <c r="C109" s="105" t="str">
        <f>IFERROR(VLOOKUP(B109,Estado!$A$9:$B$505,2,FALSE),0)</f>
        <v>ÚTILES YMAT.RESG.SEG</v>
      </c>
      <c r="D109" s="16">
        <f>SUMIF(Estado!$A$9:$A$368,$B109,Estado!$C$9:$C$368)</f>
        <v>786549742</v>
      </c>
      <c r="E109" s="16">
        <f>SUMIF(Estado!$A$9:$A$368,$B109,Estado!$D$9:$D$368)</f>
        <v>786549742</v>
      </c>
      <c r="F109" s="16">
        <f>SUMIF(Estado!$A$9:$A$368,$B109,Estado!$E$9:$E$368)</f>
        <v>0</v>
      </c>
      <c r="G109" s="16">
        <f>SUMIF(Estado!$A$9:$A$368,$B109,Estado!$G$9:$G$368)</f>
        <v>18443544</v>
      </c>
      <c r="H109" s="16">
        <f>SUMIF(Estado!$A$9:$A$368,$B109,Estado!$I$9:$I$368)</f>
        <v>0</v>
      </c>
      <c r="I109" s="16">
        <f>SUMIF(Estado!$A$9:$A$368,$B109,Estado!$K$9:$K$368)</f>
        <v>755108072.39999998</v>
      </c>
      <c r="J109" s="16">
        <f t="shared" si="21"/>
        <v>773551616.39999998</v>
      </c>
      <c r="K109" s="16">
        <f>SUMIF(Estado!$A$9:$A$368,$B109,Estado!$O$9:$O$368)</f>
        <v>12998125.6</v>
      </c>
      <c r="L109" s="51">
        <f t="shared" si="22"/>
        <v>0.98347450274797743</v>
      </c>
      <c r="M109" s="51">
        <f t="shared" si="23"/>
        <v>1.652549725202249E-2</v>
      </c>
    </row>
    <row r="110" spans="1:13" s="24" customFormat="1" ht="16.5" x14ac:dyDescent="0.25">
      <c r="A110" s="110"/>
      <c r="B110" s="107" t="str">
        <f>+Estado!A144</f>
        <v>E-29907</v>
      </c>
      <c r="C110" s="105" t="str">
        <f>IFERROR(VLOOKUP(B110,Estado!$A$9:$B$505,2,FALSE),0)</f>
        <v>ÚTILES YMAT.COC.YCOM</v>
      </c>
      <c r="D110" s="16">
        <f>SUMIF(Estado!$A$9:$A$368,$B110,Estado!$C$9:$C$368)</f>
        <v>124983000</v>
      </c>
      <c r="E110" s="16">
        <f>SUMIF(Estado!$A$9:$A$368,$B110,Estado!$D$9:$D$368)</f>
        <v>124983000</v>
      </c>
      <c r="F110" s="16">
        <f>SUMIF(Estado!$A$9:$A$368,$B110,Estado!$E$9:$E$368)</f>
        <v>0</v>
      </c>
      <c r="G110" s="16">
        <f>SUMIF(Estado!$A$9:$A$368,$B110,Estado!$G$9:$G$368)</f>
        <v>10265321.210000001</v>
      </c>
      <c r="H110" s="16">
        <f>SUMIF(Estado!$A$9:$A$368,$B110,Estado!$I$9:$I$368)</f>
        <v>0</v>
      </c>
      <c r="I110" s="16">
        <f>SUMIF(Estado!$A$9:$A$368,$B110,Estado!$K$9:$K$368)</f>
        <v>100769735.45999999</v>
      </c>
      <c r="J110" s="16">
        <f t="shared" si="21"/>
        <v>111035056.66999999</v>
      </c>
      <c r="K110" s="16">
        <f>SUMIF(Estado!$A$9:$A$368,$B110,Estado!$O$9:$O$368)</f>
        <v>13947943.33</v>
      </c>
      <c r="L110" s="51">
        <f t="shared" si="22"/>
        <v>0.8884012759335268</v>
      </c>
      <c r="M110" s="51">
        <f t="shared" si="23"/>
        <v>0.11159872406647305</v>
      </c>
    </row>
    <row r="111" spans="1:13" s="24" customFormat="1" ht="16.5" x14ac:dyDescent="0.25">
      <c r="A111" s="110"/>
      <c r="B111" s="107" t="str">
        <f>+Estado!A145</f>
        <v>E-29999</v>
      </c>
      <c r="C111" s="105" t="str">
        <f>IFERROR(VLOOKUP(B111,Estado!$A$9:$B$505,2,FALSE),0)</f>
        <v>OTR.UT,MAT Y SUM.DIV</v>
      </c>
      <c r="D111" s="16">
        <f>SUMIF(Estado!$A$9:$A$368,$B111,Estado!$C$9:$C$368)</f>
        <v>259351782</v>
      </c>
      <c r="E111" s="16">
        <f>SUMIF(Estado!$A$9:$A$368,$B111,Estado!$D$9:$D$368)</f>
        <v>259351782</v>
      </c>
      <c r="F111" s="16">
        <f>SUMIF(Estado!$A$9:$A$368,$B111,Estado!$E$9:$E$368)</f>
        <v>10266680</v>
      </c>
      <c r="G111" s="16">
        <f>SUMIF(Estado!$A$9:$A$368,$B111,Estado!$G$9:$G$368)</f>
        <v>38161856.810000002</v>
      </c>
      <c r="H111" s="16">
        <f>SUMIF(Estado!$A$9:$A$368,$B111,Estado!$I$9:$I$368)</f>
        <v>0</v>
      </c>
      <c r="I111" s="16">
        <f>SUMIF(Estado!$A$9:$A$368,$B111,Estado!$K$9:$K$368)</f>
        <v>184849782.24000001</v>
      </c>
      <c r="J111" s="16">
        <f t="shared" si="21"/>
        <v>223011639.05000001</v>
      </c>
      <c r="K111" s="16">
        <f>SUMIF(Estado!$A$9:$A$368,$B111,Estado!$O$9:$O$368)</f>
        <v>26073462.950000003</v>
      </c>
      <c r="L111" s="51">
        <f t="shared" si="22"/>
        <v>0.85988088198291235</v>
      </c>
      <c r="M111" s="51">
        <f t="shared" si="23"/>
        <v>0.10053319375303156</v>
      </c>
    </row>
    <row r="112" spans="1:13" s="23" customFormat="1" ht="17.25" x14ac:dyDescent="0.25">
      <c r="A112" s="108"/>
      <c r="B112" s="109" t="str">
        <f>+Estado!A146</f>
        <v>E-5</v>
      </c>
      <c r="C112" s="106" t="str">
        <f>IFERROR(VLOOKUP(B112,Estado!$A$9:$B$505,2,FALSE),0)</f>
        <v>BIENES DURADEROS</v>
      </c>
      <c r="D112" s="22">
        <f>+D113+D122+D125</f>
        <v>5429424918</v>
      </c>
      <c r="E112" s="22">
        <f t="shared" ref="E112:K112" si="24">+E113+E122+E125</f>
        <v>5429424918</v>
      </c>
      <c r="F112" s="22">
        <f t="shared" si="24"/>
        <v>32933875</v>
      </c>
      <c r="G112" s="22">
        <f t="shared" si="24"/>
        <v>1071287577.5200001</v>
      </c>
      <c r="H112" s="22">
        <f t="shared" si="24"/>
        <v>0</v>
      </c>
      <c r="I112" s="22">
        <f t="shared" si="24"/>
        <v>2893922785.27</v>
      </c>
      <c r="J112" s="22">
        <f t="shared" si="24"/>
        <v>3965210362.7899995</v>
      </c>
      <c r="K112" s="22">
        <f t="shared" si="24"/>
        <v>1431280680.21</v>
      </c>
      <c r="L112" s="68">
        <f t="shared" si="11"/>
        <v>0.73031866591326533</v>
      </c>
      <c r="M112" s="68">
        <f t="shared" si="12"/>
        <v>0.26361552131698529</v>
      </c>
    </row>
    <row r="113" spans="1:13" s="24" customFormat="1" ht="16.5" x14ac:dyDescent="0.25">
      <c r="A113" s="110"/>
      <c r="B113" s="107" t="str">
        <f>+Estado!A147</f>
        <v>E-501</v>
      </c>
      <c r="C113" s="105" t="str">
        <f>IFERROR(VLOOKUP(B113,Estado!$A$9:$B$505,2,FALSE),0)</f>
        <v>MAQ, EQUIPO Y MOB</v>
      </c>
      <c r="D113" s="16">
        <f>SUMIF(Estado!$A$9:$A$368,$B113,Estado!$C$9:$C$368)</f>
        <v>2172029174</v>
      </c>
      <c r="E113" s="16">
        <f>SUMIF(Estado!$A$9:$A$368,$B113,Estado!$D$9:$D$368)</f>
        <v>2172029174</v>
      </c>
      <c r="F113" s="16">
        <f>SUMIF(Estado!$A$9:$A$368,$B113,Estado!$E$9:$E$368)</f>
        <v>26433875</v>
      </c>
      <c r="G113" s="16">
        <f>SUMIF(Estado!$A$9:$A$368,$B113,Estado!$G$9:$G$368)</f>
        <v>189593358.06</v>
      </c>
      <c r="H113" s="16">
        <f>SUMIF(Estado!$A$9:$A$368,$B113,Estado!$I$9:$I$368)</f>
        <v>0</v>
      </c>
      <c r="I113" s="16">
        <f>SUMIF(Estado!$A$9:$A$368,$B113,Estado!$K$9:$K$368)</f>
        <v>1662819630.45</v>
      </c>
      <c r="J113" s="16">
        <f t="shared" si="13"/>
        <v>1852412988.51</v>
      </c>
      <c r="K113" s="16">
        <f>SUMIF(Estado!$A$9:$A$368,$B113,Estado!$O$9:$O$368)</f>
        <v>293182310.49000001</v>
      </c>
      <c r="L113" s="51">
        <f t="shared" si="11"/>
        <v>0.85284903659862166</v>
      </c>
      <c r="M113" s="51">
        <f t="shared" si="12"/>
        <v>0.13498083451157181</v>
      </c>
    </row>
    <row r="114" spans="1:13" s="24" customFormat="1" ht="16.5" x14ac:dyDescent="0.25">
      <c r="A114" s="110"/>
      <c r="B114" s="107" t="str">
        <f>+Estado!A148</f>
        <v>E-50101</v>
      </c>
      <c r="C114" s="105" t="str">
        <f>IFERROR(VLOOKUP(B114,Estado!$A$9:$B$505,2,FALSE),0)</f>
        <v>MAQ.Y EQ. PRODUCCIÓN</v>
      </c>
      <c r="D114" s="16">
        <f>SUMIF(Estado!$A$9:$A$368,$B114,Estado!$C$9:$C$368)</f>
        <v>64479380</v>
      </c>
      <c r="E114" s="16">
        <f>SUMIF(Estado!$A$9:$A$368,$B114,Estado!$D$9:$D$368)</f>
        <v>64479380</v>
      </c>
      <c r="F114" s="16">
        <f>SUMIF(Estado!$A$9:$A$368,$B114,Estado!$E$9:$E$368)</f>
        <v>0</v>
      </c>
      <c r="G114" s="16">
        <f>SUMIF(Estado!$A$9:$A$368,$B114,Estado!$G$9:$G$368)</f>
        <v>14669020</v>
      </c>
      <c r="H114" s="16">
        <f>SUMIF(Estado!$A$9:$A$368,$B114,Estado!$I$9:$I$368)</f>
        <v>0</v>
      </c>
      <c r="I114" s="16">
        <f>SUMIF(Estado!$A$9:$A$368,$B114,Estado!$K$9:$K$368)</f>
        <v>38825581.5</v>
      </c>
      <c r="J114" s="16">
        <f t="shared" si="13"/>
        <v>53494601.5</v>
      </c>
      <c r="K114" s="16">
        <f>SUMIF(Estado!$A$9:$A$368,$B114,Estado!$O$9:$O$368)</f>
        <v>10984778.5</v>
      </c>
      <c r="L114" s="51">
        <f t="shared" si="11"/>
        <v>0.82963889386033174</v>
      </c>
      <c r="M114" s="51">
        <f t="shared" si="12"/>
        <v>0.17036110613966821</v>
      </c>
    </row>
    <row r="115" spans="1:13" s="24" customFormat="1" ht="16.5" x14ac:dyDescent="0.25">
      <c r="A115" s="110"/>
      <c r="B115" s="107" t="str">
        <f>+Estado!A149</f>
        <v>E-50102</v>
      </c>
      <c r="C115" s="105" t="str">
        <f>IFERROR(VLOOKUP(B115,Estado!$A$9:$B$505,2,FALSE),0)</f>
        <v>EQUIPO DE TRANSPORTE</v>
      </c>
      <c r="D115" s="16">
        <f>SUMIF(Estado!$A$9:$A$368,$B115,Estado!$C$9:$C$368)</f>
        <v>421400000</v>
      </c>
      <c r="E115" s="16">
        <f>SUMIF(Estado!$A$9:$A$368,$B115,Estado!$D$9:$D$368)</f>
        <v>421400000</v>
      </c>
      <c r="F115" s="16">
        <f>SUMIF(Estado!$A$9:$A$368,$B115,Estado!$E$9:$E$368)</f>
        <v>0</v>
      </c>
      <c r="G115" s="16">
        <f>SUMIF(Estado!$A$9:$A$368,$B115,Estado!$G$9:$G$368)</f>
        <v>0</v>
      </c>
      <c r="H115" s="16">
        <f>SUMIF(Estado!$A$9:$A$368,$B115,Estado!$I$9:$I$368)</f>
        <v>0</v>
      </c>
      <c r="I115" s="16">
        <f>SUMIF(Estado!$A$9:$A$368,$B115,Estado!$K$9:$K$368)</f>
        <v>408450000</v>
      </c>
      <c r="J115" s="16">
        <f t="shared" si="13"/>
        <v>408450000</v>
      </c>
      <c r="K115" s="16">
        <f>SUMIF(Estado!$A$9:$A$368,$B115,Estado!$O$9:$O$368)</f>
        <v>12950000</v>
      </c>
      <c r="L115" s="51">
        <f t="shared" si="11"/>
        <v>0.96926910299003322</v>
      </c>
      <c r="M115" s="51">
        <f t="shared" si="12"/>
        <v>3.0730897009966777E-2</v>
      </c>
    </row>
    <row r="116" spans="1:13" s="24" customFormat="1" ht="16.5" x14ac:dyDescent="0.25">
      <c r="A116" s="110"/>
      <c r="B116" s="107" t="str">
        <f>+Estado!A150</f>
        <v>E-50103</v>
      </c>
      <c r="C116" s="105" t="str">
        <f>IFERROR(VLOOKUP(B116,Estado!$A$9:$B$505,2,FALSE),0)</f>
        <v>EQ. DE COMUNICACIÓN</v>
      </c>
      <c r="D116" s="16">
        <f>SUMIF(Estado!$A$9:$A$368,$B116,Estado!$C$9:$C$368)</f>
        <v>174995480.05000001</v>
      </c>
      <c r="E116" s="16">
        <f>SUMIF(Estado!$A$9:$A$368,$B116,Estado!$D$9:$D$368)</f>
        <v>174995480.05000001</v>
      </c>
      <c r="F116" s="16">
        <f>SUMIF(Estado!$A$9:$A$368,$B116,Estado!$E$9:$E$368)</f>
        <v>26433875</v>
      </c>
      <c r="G116" s="16">
        <f>SUMIF(Estado!$A$9:$A$368,$B116,Estado!$G$9:$G$368)</f>
        <v>1016000</v>
      </c>
      <c r="H116" s="16">
        <f>SUMIF(Estado!$A$9:$A$368,$B116,Estado!$I$9:$I$368)</f>
        <v>0</v>
      </c>
      <c r="I116" s="16">
        <f>SUMIF(Estado!$A$9:$A$368,$B116,Estado!$K$9:$K$368)</f>
        <v>109255750.27</v>
      </c>
      <c r="J116" s="16">
        <f t="shared" si="13"/>
        <v>110271750.27</v>
      </c>
      <c r="K116" s="16">
        <f>SUMIF(Estado!$A$9:$A$368,$B116,Estado!$O$9:$O$368)</f>
        <v>38289854.780000001</v>
      </c>
      <c r="L116" s="51">
        <f t="shared" si="11"/>
        <v>0.63014056270763652</v>
      </c>
      <c r="M116" s="51">
        <f t="shared" si="12"/>
        <v>0.21880482152487457</v>
      </c>
    </row>
    <row r="117" spans="1:13" s="24" customFormat="1" ht="16.5" x14ac:dyDescent="0.25">
      <c r="A117" s="110"/>
      <c r="B117" s="107" t="str">
        <f>+Estado!A151</f>
        <v>E-50104</v>
      </c>
      <c r="C117" s="105" t="str">
        <f>IFERROR(VLOOKUP(B117,Estado!$A$9:$B$505,2,FALSE),0)</f>
        <v>EQUIPO Y MOB. OFIC.</v>
      </c>
      <c r="D117" s="16">
        <f>SUMIF(Estado!$A$9:$A$368,$B117,Estado!$C$9:$C$368)</f>
        <v>147369001.94999999</v>
      </c>
      <c r="E117" s="16">
        <f>SUMIF(Estado!$A$9:$A$368,$B117,Estado!$D$9:$D$368)</f>
        <v>147369001.94999999</v>
      </c>
      <c r="F117" s="16">
        <f>SUMIF(Estado!$A$9:$A$368,$B117,Estado!$E$9:$E$368)</f>
        <v>0</v>
      </c>
      <c r="G117" s="16">
        <f>SUMIF(Estado!$A$9:$A$368,$B117,Estado!$G$9:$G$368)</f>
        <v>16787500</v>
      </c>
      <c r="H117" s="16">
        <f>SUMIF(Estado!$A$9:$A$368,$B117,Estado!$I$9:$I$368)</f>
        <v>0</v>
      </c>
      <c r="I117" s="16">
        <f>SUMIF(Estado!$A$9:$A$368,$B117,Estado!$K$9:$K$368)</f>
        <v>103867592.44</v>
      </c>
      <c r="J117" s="16">
        <f t="shared" si="13"/>
        <v>120655092.44</v>
      </c>
      <c r="K117" s="16">
        <f>SUMIF(Estado!$A$9:$A$368,$B117,Estado!$O$9:$O$368)</f>
        <v>26713909.510000002</v>
      </c>
      <c r="L117" s="51">
        <f t="shared" si="11"/>
        <v>0.81872775715028856</v>
      </c>
      <c r="M117" s="51">
        <f t="shared" si="12"/>
        <v>0.18127224284971147</v>
      </c>
    </row>
    <row r="118" spans="1:13" s="24" customFormat="1" ht="16.5" x14ac:dyDescent="0.25">
      <c r="A118" s="110"/>
      <c r="B118" s="107" t="str">
        <f>+Estado!A152</f>
        <v>E-50105</v>
      </c>
      <c r="C118" s="105" t="str">
        <f>IFERROR(VLOOKUP(B118,Estado!$A$9:$B$505,2,FALSE),0)</f>
        <v>EQ.Y PROGR. CÓMPUTO</v>
      </c>
      <c r="D118" s="16">
        <f>SUMIF(Estado!$A$9:$A$368,$B118,Estado!$C$9:$C$368)</f>
        <v>658919199</v>
      </c>
      <c r="E118" s="16">
        <f>SUMIF(Estado!$A$9:$A$368,$B118,Estado!$D$9:$D$368)</f>
        <v>658919199</v>
      </c>
      <c r="F118" s="16">
        <f>SUMIF(Estado!$A$9:$A$368,$B118,Estado!$E$9:$E$368)</f>
        <v>0</v>
      </c>
      <c r="G118" s="16">
        <f>SUMIF(Estado!$A$9:$A$368,$B118,Estado!$G$9:$G$368)</f>
        <v>26506101.100000001</v>
      </c>
      <c r="H118" s="16">
        <f>SUMIF(Estado!$A$9:$A$368,$B118,Estado!$I$9:$I$368)</f>
        <v>0</v>
      </c>
      <c r="I118" s="16">
        <f>SUMIF(Estado!$A$9:$A$368,$B118,Estado!$K$9:$K$368)</f>
        <v>509573845.65000004</v>
      </c>
      <c r="J118" s="16">
        <f t="shared" si="13"/>
        <v>536079946.75000006</v>
      </c>
      <c r="K118" s="16">
        <f>SUMIF(Estado!$A$9:$A$368,$B118,Estado!$O$9:$O$368)</f>
        <v>122839252.25</v>
      </c>
      <c r="L118" s="51">
        <f t="shared" si="11"/>
        <v>0.81357463489237325</v>
      </c>
      <c r="M118" s="51">
        <f t="shared" si="12"/>
        <v>0.18642536510762681</v>
      </c>
    </row>
    <row r="119" spans="1:13" s="24" customFormat="1" ht="16.5" x14ac:dyDescent="0.25">
      <c r="A119" s="110"/>
      <c r="B119" s="107" t="str">
        <f>+Estado!A153</f>
        <v>E-50106</v>
      </c>
      <c r="C119" s="105" t="str">
        <f>IFERROR(VLOOKUP(B119,Estado!$A$9:$B$505,2,FALSE),0)</f>
        <v>EQ.SANIT, LAB. E INV</v>
      </c>
      <c r="D119" s="16">
        <f>SUMIF(Estado!$A$9:$A$368,$B119,Estado!$C$9:$C$368)</f>
        <v>61731995</v>
      </c>
      <c r="E119" s="16">
        <f>SUMIF(Estado!$A$9:$A$368,$B119,Estado!$D$9:$D$368)</f>
        <v>61731995</v>
      </c>
      <c r="F119" s="16">
        <f>SUMIF(Estado!$A$9:$A$368,$B119,Estado!$E$9:$E$368)</f>
        <v>0</v>
      </c>
      <c r="G119" s="16">
        <f>SUMIF(Estado!$A$9:$A$368,$B119,Estado!$G$9:$G$368)</f>
        <v>14208762.800000001</v>
      </c>
      <c r="H119" s="16">
        <f>SUMIF(Estado!$A$9:$A$368,$B119,Estado!$I$9:$I$368)</f>
        <v>0</v>
      </c>
      <c r="I119" s="16">
        <f>SUMIF(Estado!$A$9:$A$368,$B119,Estado!$K$9:$K$368)</f>
        <v>42210336.879999995</v>
      </c>
      <c r="J119" s="16">
        <f t="shared" si="13"/>
        <v>56419099.679999992</v>
      </c>
      <c r="K119" s="16">
        <f>SUMIF(Estado!$A$9:$A$368,$B119,Estado!$O$9:$O$368)</f>
        <v>5312895.32</v>
      </c>
      <c r="L119" s="51">
        <f t="shared" si="11"/>
        <v>0.91393611497571059</v>
      </c>
      <c r="M119" s="51">
        <f t="shared" si="12"/>
        <v>8.6063885024289272E-2</v>
      </c>
    </row>
    <row r="120" spans="1:13" s="24" customFormat="1" ht="16.5" x14ac:dyDescent="0.25">
      <c r="A120" s="110"/>
      <c r="B120" s="107" t="str">
        <f>+Estado!A154</f>
        <v>E-50107</v>
      </c>
      <c r="C120" s="105" t="str">
        <f>IFERROR(VLOOKUP(B120,Estado!$A$9:$B$505,2,FALSE),0)</f>
        <v>EQ.YMOB.EDUC,DEP.Y R</v>
      </c>
      <c r="D120" s="16">
        <f>SUMIF(Estado!$A$9:$A$368,$B120,Estado!$C$9:$C$368)</f>
        <v>5811000</v>
      </c>
      <c r="E120" s="16">
        <f>SUMIF(Estado!$A$9:$A$368,$B120,Estado!$D$9:$D$368)</f>
        <v>5811000</v>
      </c>
      <c r="F120" s="16">
        <f>SUMIF(Estado!$A$9:$A$368,$B120,Estado!$E$9:$E$368)</f>
        <v>0</v>
      </c>
      <c r="G120" s="16">
        <f>SUMIF(Estado!$A$9:$A$368,$B120,Estado!$G$9:$G$368)</f>
        <v>0</v>
      </c>
      <c r="H120" s="16">
        <f>SUMIF(Estado!$A$9:$A$368,$B120,Estado!$I$9:$I$368)</f>
        <v>0</v>
      </c>
      <c r="I120" s="16">
        <f>SUMIF(Estado!$A$9:$A$368,$B120,Estado!$K$9:$K$368)</f>
        <v>1369925</v>
      </c>
      <c r="J120" s="16">
        <f t="shared" si="13"/>
        <v>1369925</v>
      </c>
      <c r="K120" s="16">
        <f>SUMIF(Estado!$A$9:$A$368,$B120,Estado!$O$9:$O$368)</f>
        <v>4441075</v>
      </c>
      <c r="L120" s="51">
        <f t="shared" si="11"/>
        <v>0.23574685940457751</v>
      </c>
      <c r="M120" s="51">
        <f t="shared" si="12"/>
        <v>0.76425314059542249</v>
      </c>
    </row>
    <row r="121" spans="1:13" s="24" customFormat="1" ht="16.5" x14ac:dyDescent="0.25">
      <c r="A121" s="110"/>
      <c r="B121" s="107" t="str">
        <f>+Estado!A155</f>
        <v>E-50199</v>
      </c>
      <c r="C121" s="105" t="str">
        <f>IFERROR(VLOOKUP(B121,Estado!$A$9:$B$505,2,FALSE),0)</f>
        <v>MAQ,EQ Y MOV.DIVERSO</v>
      </c>
      <c r="D121" s="16">
        <f>SUMIF(Estado!$A$9:$A$368,$B121,Estado!$C$9:$C$368)</f>
        <v>637323118</v>
      </c>
      <c r="E121" s="16">
        <f>SUMIF(Estado!$A$9:$A$368,$B121,Estado!$D$9:$D$368)</f>
        <v>637323118</v>
      </c>
      <c r="F121" s="16">
        <f>SUMIF(Estado!$A$9:$A$368,$B121,Estado!$E$9:$E$368)</f>
        <v>0</v>
      </c>
      <c r="G121" s="16">
        <f>SUMIF(Estado!$A$9:$A$368,$B121,Estado!$G$9:$G$368)</f>
        <v>116405974.16</v>
      </c>
      <c r="H121" s="16">
        <f>SUMIF(Estado!$A$9:$A$368,$B121,Estado!$I$9:$I$368)</f>
        <v>0</v>
      </c>
      <c r="I121" s="16">
        <f>SUMIF(Estado!$A$9:$A$368,$B121,Estado!$K$9:$K$368)</f>
        <v>449266598.70999998</v>
      </c>
      <c r="J121" s="16">
        <f t="shared" si="13"/>
        <v>565672572.87</v>
      </c>
      <c r="K121" s="16">
        <f>SUMIF(Estado!$A$9:$A$368,$B121,Estado!$O$9:$O$368)</f>
        <v>71650545.129999995</v>
      </c>
      <c r="L121" s="51">
        <f t="shared" si="11"/>
        <v>0.88757579459090008</v>
      </c>
      <c r="M121" s="51">
        <f t="shared" si="12"/>
        <v>0.11242420540909986</v>
      </c>
    </row>
    <row r="122" spans="1:13" s="24" customFormat="1" ht="16.5" x14ac:dyDescent="0.25">
      <c r="A122" s="110"/>
      <c r="B122" s="107" t="str">
        <f>+Estado!A156</f>
        <v>E-502</v>
      </c>
      <c r="C122" s="105" t="str">
        <f>IFERROR(VLOOKUP(B122,Estado!$A$9:$B$505,2,FALSE),0)</f>
        <v>CONST, ADIC YMEJORAS</v>
      </c>
      <c r="D122" s="16">
        <f>SUMIF(Estado!$A$9:$A$368,$B122,Estado!$C$9:$C$368)</f>
        <v>2891828160</v>
      </c>
      <c r="E122" s="16">
        <f>SUMIF(Estado!$A$9:$A$368,$B122,Estado!$D$9:$D$368)</f>
        <v>2891828160</v>
      </c>
      <c r="F122" s="16">
        <f>SUMIF(Estado!$A$9:$A$368,$B122,Estado!$E$9:$E$368)</f>
        <v>6500000</v>
      </c>
      <c r="G122" s="16">
        <f>SUMIF(Estado!$A$9:$A$368,$B122,Estado!$G$9:$G$368)</f>
        <v>880873922.63999999</v>
      </c>
      <c r="H122" s="16">
        <f>SUMIF(Estado!$A$9:$A$368,$B122,Estado!$I$9:$I$368)</f>
        <v>0</v>
      </c>
      <c r="I122" s="16">
        <f>SUMIF(Estado!$A$9:$A$368,$B122,Estado!$K$9:$K$368)</f>
        <v>1034677297.42</v>
      </c>
      <c r="J122" s="16">
        <f t="shared" si="13"/>
        <v>1915551220.0599999</v>
      </c>
      <c r="K122" s="16">
        <f>SUMIF(Estado!$A$9:$A$368,$B122,Estado!$O$9:$O$368)</f>
        <v>969776939.94000006</v>
      </c>
      <c r="L122" s="51">
        <f t="shared" si="11"/>
        <v>0.6624014685782712</v>
      </c>
      <c r="M122" s="51">
        <f t="shared" si="12"/>
        <v>0.3353508183349318</v>
      </c>
    </row>
    <row r="123" spans="1:13" s="23" customFormat="1" ht="16.5" x14ac:dyDescent="0.25">
      <c r="A123" s="108"/>
      <c r="B123" s="107" t="str">
        <f>+Estado!A157</f>
        <v>E-50201</v>
      </c>
      <c r="C123" s="105" t="str">
        <f>IFERROR(VLOOKUP(B123,Estado!$A$9:$B$505,2,FALSE),0)</f>
        <v>EDIFICIOS</v>
      </c>
      <c r="D123" s="16">
        <f>SUMIF(Estado!$A$9:$A$368,$B123,Estado!$C$9:$C$368)</f>
        <v>2828343800</v>
      </c>
      <c r="E123" s="16">
        <f>SUMIF(Estado!$A$9:$A$368,$B123,Estado!$D$9:$D$368)</f>
        <v>2828343800</v>
      </c>
      <c r="F123" s="16">
        <f>SUMIF(Estado!$A$9:$A$368,$B123,Estado!$E$9:$E$368)</f>
        <v>6500000</v>
      </c>
      <c r="G123" s="16">
        <f>SUMIF(Estado!$A$9:$A$368,$B123,Estado!$G$9:$G$368)</f>
        <v>880199922.63999999</v>
      </c>
      <c r="H123" s="16">
        <f>SUMIF(Estado!$A$9:$A$368,$B123,Estado!$I$9:$I$368)</f>
        <v>0</v>
      </c>
      <c r="I123" s="16">
        <f>SUMIF(Estado!$A$9:$A$368,$B123,Estado!$K$9:$K$368)</f>
        <v>974716734.41999996</v>
      </c>
      <c r="J123" s="16">
        <f t="shared" si="13"/>
        <v>1854916657.0599999</v>
      </c>
      <c r="K123" s="16">
        <f>SUMIF(Estado!$A$9:$A$368,$B123,Estado!$O$9:$O$368)</f>
        <v>966927142.94000006</v>
      </c>
      <c r="L123" s="51">
        <f t="shared" si="11"/>
        <v>0.65583139399814128</v>
      </c>
      <c r="M123" s="51">
        <f t="shared" si="12"/>
        <v>0.34187044125965171</v>
      </c>
    </row>
    <row r="124" spans="1:13" s="24" customFormat="1" ht="16.5" x14ac:dyDescent="0.25">
      <c r="A124" s="110"/>
      <c r="B124" s="107" t="str">
        <f>+Estado!A158</f>
        <v>E-50207</v>
      </c>
      <c r="C124" s="105" t="str">
        <f>IFERROR(VLOOKUP(B124,Estado!$A$9:$B$505,2,FALSE),0)</f>
        <v>INSTALACIONES</v>
      </c>
      <c r="D124" s="16">
        <f>SUMIF(Estado!$A$9:$A$368,$B124,Estado!$C$9:$C$368)</f>
        <v>63484360</v>
      </c>
      <c r="E124" s="16">
        <f>SUMIF(Estado!$A$9:$A$368,$B124,Estado!$D$9:$D$368)</f>
        <v>63484360</v>
      </c>
      <c r="F124" s="16">
        <f>SUMIF(Estado!$A$9:$A$368,$B124,Estado!$E$9:$E$368)</f>
        <v>0</v>
      </c>
      <c r="G124" s="16">
        <f>SUMIF(Estado!$A$9:$A$368,$B124,Estado!$G$9:$G$368)</f>
        <v>674000</v>
      </c>
      <c r="H124" s="16">
        <f>SUMIF(Estado!$A$9:$A$368,$B124,Estado!$I$9:$I$368)</f>
        <v>0</v>
      </c>
      <c r="I124" s="16">
        <f>SUMIF(Estado!$A$9:$A$368,$B124,Estado!$K$9:$K$368)</f>
        <v>59960563</v>
      </c>
      <c r="J124" s="16">
        <f t="shared" si="13"/>
        <v>60634563</v>
      </c>
      <c r="K124" s="16">
        <f>SUMIF(Estado!$A$9:$A$368,$B124,Estado!$O$9:$O$368)</f>
        <v>2849797</v>
      </c>
      <c r="L124" s="51">
        <f t="shared" si="11"/>
        <v>0.95511025077672673</v>
      </c>
      <c r="M124" s="51">
        <f t="shared" si="12"/>
        <v>4.4889749223273261E-2</v>
      </c>
    </row>
    <row r="125" spans="1:13" s="24" customFormat="1" ht="16.5" x14ac:dyDescent="0.25">
      <c r="A125" s="110"/>
      <c r="B125" s="107" t="str">
        <f>+Estado!A159</f>
        <v>E-599</v>
      </c>
      <c r="C125" s="105" t="str">
        <f>IFERROR(VLOOKUP(B125,Estado!$A$9:$B$505,2,FALSE),0)</f>
        <v>BIENES DURADEROS DIV</v>
      </c>
      <c r="D125" s="16">
        <f>SUMIF(Estado!$A$9:$A$368,$B125,Estado!$C$9:$C$368)</f>
        <v>365567584</v>
      </c>
      <c r="E125" s="16">
        <f>SUMIF(Estado!$A$9:$A$368,$B125,Estado!$D$9:$D$368)</f>
        <v>365567584</v>
      </c>
      <c r="F125" s="16">
        <f>SUMIF(Estado!$A$9:$A$368,$B125,Estado!$E$9:$E$368)</f>
        <v>0</v>
      </c>
      <c r="G125" s="16">
        <f>SUMIF(Estado!$A$9:$A$368,$B125,Estado!$G$9:$G$368)</f>
        <v>820296.82</v>
      </c>
      <c r="H125" s="16">
        <f>SUMIF(Estado!$A$9:$A$368,$B125,Estado!$I$9:$I$368)</f>
        <v>0</v>
      </c>
      <c r="I125" s="16">
        <f>SUMIF(Estado!$A$9:$A$368,$B125,Estado!$K$9:$K$368)</f>
        <v>196425857.39999998</v>
      </c>
      <c r="J125" s="16">
        <f t="shared" si="13"/>
        <v>197246154.21999997</v>
      </c>
      <c r="K125" s="16">
        <f>SUMIF(Estado!$A$9:$A$368,$B125,Estado!$O$9:$O$368)</f>
        <v>168321429.78</v>
      </c>
      <c r="L125" s="51">
        <f t="shared" si="11"/>
        <v>0.53956139125289615</v>
      </c>
      <c r="M125" s="51">
        <f t="shared" si="12"/>
        <v>0.46043860874710379</v>
      </c>
    </row>
    <row r="126" spans="1:13" s="24" customFormat="1" ht="16.5" x14ac:dyDescent="0.25">
      <c r="A126" s="110"/>
      <c r="B126" s="107" t="str">
        <f>+Estado!A160</f>
        <v>E-59903</v>
      </c>
      <c r="C126" s="105" t="str">
        <f>IFERROR(VLOOKUP(B126,Estado!$A$9:$B$505,2,FALSE),0)</f>
        <v>BIENES INTANGIBLES</v>
      </c>
      <c r="D126" s="16">
        <f>SUMIF(Estado!$A$9:$A$368,$B126,Estado!$C$9:$C$368)</f>
        <v>365567584</v>
      </c>
      <c r="E126" s="16">
        <f>SUMIF(Estado!$A$9:$A$368,$B126,Estado!$D$9:$D$368)</f>
        <v>365567584</v>
      </c>
      <c r="F126" s="16">
        <f>SUMIF(Estado!$A$9:$A$368,$B126,Estado!$E$9:$E$368)</f>
        <v>0</v>
      </c>
      <c r="G126" s="16">
        <f>SUMIF(Estado!$A$9:$A$368,$B126,Estado!$G$9:$G$368)</f>
        <v>820296.82</v>
      </c>
      <c r="H126" s="16">
        <f>SUMIF(Estado!$A$9:$A$368,$B126,Estado!$I$9:$I$368)</f>
        <v>0</v>
      </c>
      <c r="I126" s="16">
        <f>SUMIF(Estado!$A$9:$A$368,$B126,Estado!$K$9:$K$368)</f>
        <v>196425857.39999998</v>
      </c>
      <c r="J126" s="16">
        <f t="shared" si="13"/>
        <v>197246154.21999997</v>
      </c>
      <c r="K126" s="16">
        <f>SUMIF(Estado!$A$9:$A$368,$B126,Estado!$O$9:$O$368)</f>
        <v>168321429.78</v>
      </c>
      <c r="L126" s="51">
        <f t="shared" si="11"/>
        <v>0.53956139125289615</v>
      </c>
      <c r="M126" s="51">
        <f t="shared" si="12"/>
        <v>0.46043860874710379</v>
      </c>
    </row>
    <row r="127" spans="1:13" s="23" customFormat="1" ht="17.25" x14ac:dyDescent="0.25">
      <c r="A127" s="108"/>
      <c r="B127" s="109" t="str">
        <f>+Estado!A161</f>
        <v>E-6</v>
      </c>
      <c r="C127" s="106" t="str">
        <f>IFERROR(VLOOKUP(B127,Estado!$A$9:$B$505,2,FALSE),0)</f>
        <v>TRANSF. CORRIENTES</v>
      </c>
      <c r="D127" s="22">
        <f>+D128+D131+D133+D136+D139</f>
        <v>3621508798.0100002</v>
      </c>
      <c r="E127" s="22">
        <f t="shared" ref="E127:K127" si="25">+E128+E131+E133+E136+E139</f>
        <v>3621508798.0100002</v>
      </c>
      <c r="F127" s="22">
        <f t="shared" si="25"/>
        <v>0</v>
      </c>
      <c r="G127" s="22">
        <f t="shared" si="25"/>
        <v>148548737.99000001</v>
      </c>
      <c r="H127" s="22">
        <f t="shared" si="25"/>
        <v>0</v>
      </c>
      <c r="I127" s="22">
        <f t="shared" si="25"/>
        <v>3103792829.48</v>
      </c>
      <c r="J127" s="22">
        <f t="shared" si="25"/>
        <v>3252341567.4700003</v>
      </c>
      <c r="K127" s="22">
        <f t="shared" si="25"/>
        <v>369167230.54000002</v>
      </c>
      <c r="L127" s="68">
        <f t="shared" si="11"/>
        <v>0.89806258906706082</v>
      </c>
      <c r="M127" s="68">
        <f t="shared" si="12"/>
        <v>0.10193741093293918</v>
      </c>
    </row>
    <row r="128" spans="1:13" s="24" customFormat="1" ht="16.5" x14ac:dyDescent="0.25">
      <c r="A128" s="110"/>
      <c r="B128" s="107" t="str">
        <f>+Estado!A162</f>
        <v>E-601</v>
      </c>
      <c r="C128" s="105" t="str">
        <f>IFERROR(VLOOKUP(B128,Estado!$A$9:$B$505,2,FALSE),0)</f>
        <v>TRANSF CTES S. PUB</v>
      </c>
      <c r="D128" s="16">
        <f>SUMIF(Estado!$A$9:$A$368,$B128,Estado!$C$9:$C$368)</f>
        <v>1169518300.6700001</v>
      </c>
      <c r="E128" s="16">
        <f>SUMIF(Estado!$A$9:$A$368,$B128,Estado!$D$9:$D$368)</f>
        <v>1169518300.6700001</v>
      </c>
      <c r="F128" s="16">
        <f>SUMIF(Estado!$A$9:$A$368,$B128,Estado!$E$9:$E$368)</f>
        <v>0</v>
      </c>
      <c r="G128" s="16">
        <f>SUMIF(Estado!$A$9:$A$368,$B128,Estado!$G$9:$G$368)</f>
        <v>0</v>
      </c>
      <c r="H128" s="16">
        <f>SUMIF(Estado!$A$9:$A$368,$B128,Estado!$I$9:$I$368)</f>
        <v>0</v>
      </c>
      <c r="I128" s="16">
        <f>SUMIF(Estado!$A$9:$A$368,$B128,Estado!$K$9:$K$368)</f>
        <v>995271304.96000004</v>
      </c>
      <c r="J128" s="16">
        <f t="shared" si="13"/>
        <v>995271304.96000004</v>
      </c>
      <c r="K128" s="16">
        <f>SUMIF(Estado!$A$9:$A$368,$B128,Estado!$O$9:$O$368)</f>
        <v>174246995.71000001</v>
      </c>
      <c r="L128" s="51">
        <f t="shared" si="11"/>
        <v>0.85100960317578911</v>
      </c>
      <c r="M128" s="51">
        <f t="shared" si="12"/>
        <v>0.14899039682421081</v>
      </c>
    </row>
    <row r="129" spans="1:13" s="24" customFormat="1" ht="16.5" x14ac:dyDescent="0.25">
      <c r="A129" s="110"/>
      <c r="B129" s="107" t="str">
        <f>+Estado!A163</f>
        <v>E-60102</v>
      </c>
      <c r="C129" s="105" t="str">
        <f>IFERROR(VLOOKUP(B129,Estado!$A$9:$B$505,2,FALSE),0)</f>
        <v>TRANSF.CTE ORG.DESC</v>
      </c>
      <c r="D129" s="16">
        <f>SUMIF(Estado!$A$9:$A$368,$B129,Estado!$C$9:$C$368)</f>
        <v>606798220</v>
      </c>
      <c r="E129" s="16">
        <f>SUMIF(Estado!$A$9:$A$368,$B129,Estado!$D$9:$D$368)</f>
        <v>606798220</v>
      </c>
      <c r="F129" s="16">
        <f>SUMIF(Estado!$A$9:$A$368,$B129,Estado!$E$9:$E$368)</f>
        <v>0</v>
      </c>
      <c r="G129" s="16">
        <f>SUMIF(Estado!$A$9:$A$368,$B129,Estado!$G$9:$G$368)</f>
        <v>0</v>
      </c>
      <c r="H129" s="16">
        <f>SUMIF(Estado!$A$9:$A$368,$B129,Estado!$I$9:$I$368)</f>
        <v>0</v>
      </c>
      <c r="I129" s="16">
        <f>SUMIF(Estado!$A$9:$A$368,$B129,Estado!$K$9:$K$368)</f>
        <v>464534835</v>
      </c>
      <c r="J129" s="16">
        <f>SUM(G129:I129)</f>
        <v>464534835</v>
      </c>
      <c r="K129" s="16">
        <f>SUMIF(Estado!$A$9:$A$368,$B129,Estado!$O$9:$O$368)</f>
        <v>142263385</v>
      </c>
      <c r="L129" s="51">
        <f t="shared" si="11"/>
        <v>0.76555075425237729</v>
      </c>
      <c r="M129" s="51">
        <f t="shared" si="12"/>
        <v>0.23444924574762266</v>
      </c>
    </row>
    <row r="130" spans="1:13" s="24" customFormat="1" ht="16.5" x14ac:dyDescent="0.25">
      <c r="A130" s="110"/>
      <c r="B130" s="107" t="str">
        <f>+Estado!A168</f>
        <v>E-60103</v>
      </c>
      <c r="C130" s="105" t="str">
        <f>IFERROR(VLOOKUP(B130,Estado!$A$9:$B$505,2,FALSE),0)</f>
        <v>TRANSF.CTE I.D.NOE</v>
      </c>
      <c r="D130" s="16">
        <f>SUMIF(Estado!$A$9:$A$368,$B130,Estado!$C$9:$C$368)</f>
        <v>562720080.66999996</v>
      </c>
      <c r="E130" s="16">
        <f>SUMIF(Estado!$A$9:$A$368,$B130,Estado!$D$9:$D$368)</f>
        <v>562720080.66999996</v>
      </c>
      <c r="F130" s="16">
        <f>SUMIF(Estado!$A$9:$A$368,$B130,Estado!$E$9:$E$368)</f>
        <v>0</v>
      </c>
      <c r="G130" s="16">
        <f>SUMIF(Estado!$A$9:$A$368,$B130,Estado!$G$9:$G$368)</f>
        <v>0</v>
      </c>
      <c r="H130" s="16">
        <f>SUMIF(Estado!$A$9:$A$368,$B130,Estado!$I$9:$I$368)</f>
        <v>0</v>
      </c>
      <c r="I130" s="16">
        <f>SUMIF(Estado!$A$9:$A$368,$B130,Estado!$K$9:$K$368)</f>
        <v>530736469.95999998</v>
      </c>
      <c r="J130" s="16">
        <f t="shared" si="13"/>
        <v>530736469.95999998</v>
      </c>
      <c r="K130" s="16">
        <f>SUMIF(Estado!$A$9:$A$368,$B130,Estado!$O$9:$O$368)</f>
        <v>31983610.709999993</v>
      </c>
      <c r="L130" s="51">
        <f t="shared" si="11"/>
        <v>0.94316248556134896</v>
      </c>
      <c r="M130" s="51">
        <f t="shared" si="12"/>
        <v>5.6837514438651024E-2</v>
      </c>
    </row>
    <row r="131" spans="1:13" s="24" customFormat="1" ht="16.5" x14ac:dyDescent="0.25">
      <c r="A131" s="110"/>
      <c r="B131" s="107" t="str">
        <f>+Estado!A179</f>
        <v>E-602</v>
      </c>
      <c r="C131" s="105" t="str">
        <f>IFERROR(VLOOKUP(B131,Estado!$A$9:$B$505,2,FALSE),0)</f>
        <v>TRANSF CTES A PERS</v>
      </c>
      <c r="D131" s="16">
        <f>SUMIF(Estado!$A$9:$A$368,$B131,Estado!$C$9:$C$368)</f>
        <v>450000000</v>
      </c>
      <c r="E131" s="16">
        <f>SUMIF(Estado!$A$9:$A$368,$B131,Estado!$D$9:$D$368)</f>
        <v>450000000</v>
      </c>
      <c r="F131" s="16">
        <f>SUMIF(Estado!$A$9:$A$368,$B131,Estado!$E$9:$E$368)</f>
        <v>0</v>
      </c>
      <c r="G131" s="16">
        <f>SUMIF(Estado!$A$9:$A$368,$B131,Estado!$G$9:$G$368)</f>
        <v>0</v>
      </c>
      <c r="H131" s="16">
        <f>SUMIF(Estado!$A$9:$A$368,$B131,Estado!$I$9:$I$368)</f>
        <v>0</v>
      </c>
      <c r="I131" s="16">
        <f>SUMIF(Estado!$A$9:$A$368,$B131,Estado!$K$9:$K$368)</f>
        <v>450000000</v>
      </c>
      <c r="J131" s="16">
        <f t="shared" si="13"/>
        <v>450000000</v>
      </c>
      <c r="K131" s="16">
        <f>SUMIF(Estado!$A$9:$A$368,$B131,Estado!$O$9:$O$368)</f>
        <v>0</v>
      </c>
      <c r="L131" s="51">
        <f t="shared" si="11"/>
        <v>1</v>
      </c>
      <c r="M131" s="51">
        <f t="shared" si="12"/>
        <v>0</v>
      </c>
    </row>
    <row r="132" spans="1:13" s="24" customFormat="1" ht="16.5" x14ac:dyDescent="0.25">
      <c r="A132" s="110"/>
      <c r="B132" s="107" t="str">
        <f>+Estado!A180</f>
        <v>E-60299</v>
      </c>
      <c r="C132" s="105" t="str">
        <f>IFERROR(VLOOKUP(B132,Estado!$A$9:$B$505,2,FALSE),0)</f>
        <v>OTRAS TRANSF. A PERS</v>
      </c>
      <c r="D132" s="16">
        <f>SUMIF(Estado!$A$9:$A$368,$B132,Estado!$C$9:$C$368)</f>
        <v>450000000</v>
      </c>
      <c r="E132" s="16">
        <f>SUMIF(Estado!$A$9:$A$368,$B132,Estado!$D$9:$D$368)</f>
        <v>450000000</v>
      </c>
      <c r="F132" s="16">
        <f>SUMIF(Estado!$A$9:$A$368,$B132,Estado!$E$9:$E$368)</f>
        <v>0</v>
      </c>
      <c r="G132" s="16">
        <f>SUMIF(Estado!$A$9:$A$368,$B132,Estado!$G$9:$G$368)</f>
        <v>0</v>
      </c>
      <c r="H132" s="16">
        <f>SUMIF(Estado!$A$9:$A$368,$B132,Estado!$I$9:$I$368)</f>
        <v>0</v>
      </c>
      <c r="I132" s="16">
        <f>SUMIF(Estado!$A$9:$A$368,$B132,Estado!$K$9:$K$368)</f>
        <v>450000000</v>
      </c>
      <c r="J132" s="16">
        <f t="shared" si="13"/>
        <v>450000000</v>
      </c>
      <c r="K132" s="16">
        <f>SUMIF(Estado!$A$9:$A$368,$B132,Estado!$O$9:$O$368)</f>
        <v>0</v>
      </c>
      <c r="L132" s="51">
        <f t="shared" si="11"/>
        <v>1</v>
      </c>
      <c r="M132" s="51">
        <f t="shared" si="12"/>
        <v>0</v>
      </c>
    </row>
    <row r="133" spans="1:13" s="24" customFormat="1" ht="16.5" x14ac:dyDescent="0.25">
      <c r="A133" s="110"/>
      <c r="B133" s="107" t="str">
        <f>+Estado!A181</f>
        <v>E-603</v>
      </c>
      <c r="C133" s="105" t="str">
        <f>IFERROR(VLOOKUP(B133,Estado!$A$9:$B$505,2,FALSE),0)</f>
        <v>PRESTACIONES</v>
      </c>
      <c r="D133" s="16">
        <f>SUMIF(Estado!$A$9:$A$368,$B133,Estado!$C$9:$C$368)</f>
        <v>1383915017</v>
      </c>
      <c r="E133" s="16">
        <f>SUMIF(Estado!$A$9:$A$368,$B133,Estado!$D$9:$D$368)</f>
        <v>1383915017</v>
      </c>
      <c r="F133" s="16">
        <f>SUMIF(Estado!$A$9:$A$368,$B133,Estado!$E$9:$E$368)</f>
        <v>0</v>
      </c>
      <c r="G133" s="16">
        <f>SUMIF(Estado!$A$9:$A$368,$B133,Estado!$G$9:$G$368)</f>
        <v>851930.71</v>
      </c>
      <c r="H133" s="16">
        <f>SUMIF(Estado!$A$9:$A$368,$B133,Estado!$I$9:$I$368)</f>
        <v>0</v>
      </c>
      <c r="I133" s="16">
        <f>SUMIF(Estado!$A$9:$A$368,$B133,Estado!$K$9:$K$368)</f>
        <v>1214559481.4000001</v>
      </c>
      <c r="J133" s="16">
        <f t="shared" si="13"/>
        <v>1215411412.1100001</v>
      </c>
      <c r="K133" s="16">
        <f>SUMIF(Estado!$A$9:$A$368,$B133,Estado!$O$9:$O$368)</f>
        <v>168503604.89000002</v>
      </c>
      <c r="L133" s="51">
        <f t="shared" ref="L133:L143" si="26">+IFERROR(SUM(G133:I133)/D133,0)</f>
        <v>0.87824136394207519</v>
      </c>
      <c r="M133" s="51">
        <f t="shared" ref="M133:M143" si="27">+IFERROR(+K133/D133,0)</f>
        <v>0.12175863605792495</v>
      </c>
    </row>
    <row r="134" spans="1:13" s="24" customFormat="1" ht="16.5" x14ac:dyDescent="0.25">
      <c r="A134" s="110"/>
      <c r="B134" s="107" t="str">
        <f>+Estado!A182</f>
        <v>E-60301</v>
      </c>
      <c r="C134" s="105" t="str">
        <f>IFERROR(VLOOKUP(B134,Estado!$A$9:$B$505,2,FALSE),0)</f>
        <v>PRESTACIONES LEGALES</v>
      </c>
      <c r="D134" s="16">
        <f>SUMIF(Estado!$A$9:$A$368,$B134,Estado!$C$9:$C$368)</f>
        <v>959915017</v>
      </c>
      <c r="E134" s="16">
        <f>SUMIF(Estado!$A$9:$A$368,$B134,Estado!$D$9:$D$368)</f>
        <v>959915017</v>
      </c>
      <c r="F134" s="16">
        <f>SUMIF(Estado!$A$9:$A$368,$B134,Estado!$E$9:$E$368)</f>
        <v>0</v>
      </c>
      <c r="G134" s="16">
        <f>SUMIF(Estado!$A$9:$A$368,$B134,Estado!$G$9:$G$368)</f>
        <v>851930.71</v>
      </c>
      <c r="H134" s="16">
        <f>SUMIF(Estado!$A$9:$A$368,$B134,Estado!$I$9:$I$368)</f>
        <v>0</v>
      </c>
      <c r="I134" s="16">
        <f>SUMIF(Estado!$A$9:$A$368,$B134,Estado!$K$9:$K$368)</f>
        <v>851972065.42999995</v>
      </c>
      <c r="J134" s="16">
        <f t="shared" ref="J134:J143" si="28">SUM(G134:I134)</f>
        <v>852823996.13999999</v>
      </c>
      <c r="K134" s="16">
        <f>SUMIF(Estado!$A$9:$A$368,$B134,Estado!$O$9:$O$368)</f>
        <v>107091020.86000001</v>
      </c>
      <c r="L134" s="51">
        <f t="shared" si="26"/>
        <v>0.88843697727045767</v>
      </c>
      <c r="M134" s="51">
        <f t="shared" si="27"/>
        <v>0.11156302272954233</v>
      </c>
    </row>
    <row r="135" spans="1:13" s="24" customFormat="1" ht="16.5" x14ac:dyDescent="0.25">
      <c r="A135" s="110"/>
      <c r="B135" s="107" t="str">
        <f>+Estado!A183</f>
        <v>E-60399</v>
      </c>
      <c r="C135" s="105" t="str">
        <f>IFERROR(VLOOKUP(B135,Estado!$A$9:$B$505,2,FALSE),0)</f>
        <v>OTRAS PRESTACIONES</v>
      </c>
      <c r="D135" s="16">
        <f>SUMIF(Estado!$A$9:$A$368,$B135,Estado!$C$9:$C$368)</f>
        <v>424000000</v>
      </c>
      <c r="E135" s="16">
        <f>SUMIF(Estado!$A$9:$A$368,$B135,Estado!$D$9:$D$368)</f>
        <v>424000000</v>
      </c>
      <c r="F135" s="16">
        <f>SUMIF(Estado!$A$9:$A$368,$B135,Estado!$E$9:$E$368)</f>
        <v>0</v>
      </c>
      <c r="G135" s="16">
        <f>SUMIF(Estado!$A$9:$A$368,$B135,Estado!$G$9:$G$368)</f>
        <v>0</v>
      </c>
      <c r="H135" s="16">
        <f>SUMIF(Estado!$A$9:$A$368,$B135,Estado!$I$9:$I$368)</f>
        <v>0</v>
      </c>
      <c r="I135" s="16">
        <f>SUMIF(Estado!$A$9:$A$368,$B135,Estado!$K$9:$K$368)</f>
        <v>362587415.97000003</v>
      </c>
      <c r="J135" s="16">
        <f t="shared" si="28"/>
        <v>362587415.97000003</v>
      </c>
      <c r="K135" s="16">
        <f>SUMIF(Estado!$A$9:$A$368,$B135,Estado!$O$9:$O$368)</f>
        <v>61412584.030000001</v>
      </c>
      <c r="L135" s="51">
        <f t="shared" si="26"/>
        <v>0.85515899992924538</v>
      </c>
      <c r="M135" s="51">
        <f t="shared" si="27"/>
        <v>0.14484100007075473</v>
      </c>
    </row>
    <row r="136" spans="1:13" s="24" customFormat="1" ht="16.5" x14ac:dyDescent="0.25">
      <c r="A136" s="110"/>
      <c r="B136" s="107" t="str">
        <f>+Estado!A184</f>
        <v>E-606</v>
      </c>
      <c r="C136" s="105" t="str">
        <f>IFERROR(VLOOKUP(B136,Estado!$A$9:$B$505,2,FALSE),0)</f>
        <v>OTR.TRANSF.CTE SPRIV</v>
      </c>
      <c r="D136" s="16">
        <f>SUMIF(Estado!$A$9:$A$368,$B136,Estado!$C$9:$C$368)</f>
        <v>214843480.34</v>
      </c>
      <c r="E136" s="16">
        <f>SUMIF(Estado!$A$9:$A$368,$B136,Estado!$D$9:$D$368)</f>
        <v>214843480.34</v>
      </c>
      <c r="F136" s="16">
        <f>SUMIF(Estado!$A$9:$A$368,$B136,Estado!$E$9:$E$368)</f>
        <v>0</v>
      </c>
      <c r="G136" s="16">
        <f>SUMIF(Estado!$A$9:$A$368,$B136,Estado!$G$9:$G$368)</f>
        <v>147696807.28</v>
      </c>
      <c r="H136" s="16">
        <f>SUMIF(Estado!$A$9:$A$368,$B136,Estado!$I$9:$I$368)</f>
        <v>0</v>
      </c>
      <c r="I136" s="16">
        <f>SUMIF(Estado!$A$9:$A$368,$B136,Estado!$K$9:$K$368)</f>
        <v>41911294.829999998</v>
      </c>
      <c r="J136" s="16">
        <f t="shared" si="28"/>
        <v>189608102.11000001</v>
      </c>
      <c r="K136" s="16">
        <f>SUMIF(Estado!$A$9:$A$368,$B136,Estado!$O$9:$O$368)</f>
        <v>25235378.23</v>
      </c>
      <c r="L136" s="51">
        <f t="shared" si="26"/>
        <v>0.88254063753731882</v>
      </c>
      <c r="M136" s="51">
        <f t="shared" si="27"/>
        <v>0.11745936246268128</v>
      </c>
    </row>
    <row r="137" spans="1:13" s="24" customFormat="1" ht="16.5" x14ac:dyDescent="0.25">
      <c r="A137" s="110"/>
      <c r="B137" s="107" t="str">
        <f>+Estado!A185</f>
        <v>E-60601</v>
      </c>
      <c r="C137" s="105" t="str">
        <f>IFERROR(VLOOKUP(B137,Estado!$A$9:$B$505,2,FALSE),0)</f>
        <v>INDEMNIZACIONES</v>
      </c>
      <c r="D137" s="16">
        <f>SUMIF(Estado!$A$9:$A$368,$B137,Estado!$C$9:$C$368)</f>
        <v>160095437.58000001</v>
      </c>
      <c r="E137" s="16">
        <f>SUMIF(Estado!$A$9:$A$368,$B137,Estado!$D$9:$D$368)</f>
        <v>160095437.58000001</v>
      </c>
      <c r="F137" s="16">
        <f>SUMIF(Estado!$A$9:$A$368,$B137,Estado!$E$9:$E$368)</f>
        <v>0</v>
      </c>
      <c r="G137" s="16">
        <f>SUMIF(Estado!$A$9:$A$368,$B137,Estado!$G$9:$G$368)</f>
        <v>125855203.81999999</v>
      </c>
      <c r="H137" s="16">
        <f>SUMIF(Estado!$A$9:$A$368,$B137,Estado!$I$9:$I$368)</f>
        <v>0</v>
      </c>
      <c r="I137" s="16">
        <f>SUMIF(Estado!$A$9:$A$368,$B137,Estado!$K$9:$K$368)</f>
        <v>28937539.859999999</v>
      </c>
      <c r="J137" s="16">
        <f t="shared" si="28"/>
        <v>154792743.68000001</v>
      </c>
      <c r="K137" s="16">
        <f>SUMIF(Estado!$A$9:$A$368,$B137,Estado!$O$9:$O$368)</f>
        <v>5302693.9000000004</v>
      </c>
      <c r="L137" s="51">
        <f t="shared" si="26"/>
        <v>0.96687791994478145</v>
      </c>
      <c r="M137" s="51">
        <f t="shared" si="27"/>
        <v>3.3122080055218522E-2</v>
      </c>
    </row>
    <row r="138" spans="1:13" s="24" customFormat="1" ht="16.5" x14ac:dyDescent="0.25">
      <c r="A138" s="110"/>
      <c r="B138" s="107" t="str">
        <f>+Estado!A186</f>
        <v>E-60602</v>
      </c>
      <c r="C138" s="105" t="str">
        <f>IFERROR(VLOOKUP(B138,Estado!$A$9:$B$505,2,FALSE),0)</f>
        <v>REINTEGROS O DEVOL.</v>
      </c>
      <c r="D138" s="16">
        <f>SUMIF(Estado!$A$9:$A$368,$B138,Estado!$C$9:$C$368)</f>
        <v>54748042.760000005</v>
      </c>
      <c r="E138" s="16">
        <f>SUMIF(Estado!$A$9:$A$368,$B138,Estado!$D$9:$D$368)</f>
        <v>54748042.760000005</v>
      </c>
      <c r="F138" s="16">
        <f>SUMIF(Estado!$A$9:$A$368,$B138,Estado!$E$9:$E$368)</f>
        <v>0</v>
      </c>
      <c r="G138" s="16">
        <f>SUMIF(Estado!$A$9:$A$368,$B138,Estado!$G$9:$G$368)</f>
        <v>21841603.460000001</v>
      </c>
      <c r="H138" s="16">
        <f>SUMIF(Estado!$A$9:$A$368,$B138,Estado!$I$9:$I$368)</f>
        <v>0</v>
      </c>
      <c r="I138" s="16">
        <f>SUMIF(Estado!$A$9:$A$368,$B138,Estado!$K$9:$K$368)</f>
        <v>12973754.969999999</v>
      </c>
      <c r="J138" s="16">
        <f t="shared" si="28"/>
        <v>34815358.43</v>
      </c>
      <c r="K138" s="16">
        <f>SUMIF(Estado!$A$9:$A$368,$B138,Estado!$O$9:$O$368)</f>
        <v>19932684.329999998</v>
      </c>
      <c r="L138" s="51">
        <f t="shared" si="26"/>
        <v>0.63591969091243539</v>
      </c>
      <c r="M138" s="51">
        <f t="shared" si="27"/>
        <v>0.36408030908756445</v>
      </c>
    </row>
    <row r="139" spans="1:13" s="24" customFormat="1" ht="16.5" x14ac:dyDescent="0.25">
      <c r="A139" s="110"/>
      <c r="B139" s="107" t="str">
        <f>+Estado!A187</f>
        <v>E-607</v>
      </c>
      <c r="C139" s="105" t="str">
        <f>IFERROR(VLOOKUP(B139,Estado!$A$9:$B$505,2,FALSE),0)</f>
        <v>TRANSF CTES AL S.EXT</v>
      </c>
      <c r="D139" s="16">
        <f>SUMIF(Estado!$A$9:$A$368,$B139,Estado!$C$9:$C$368)</f>
        <v>403232000</v>
      </c>
      <c r="E139" s="16">
        <f>SUMIF(Estado!$A$9:$A$368,$B139,Estado!$D$9:$D$368)</f>
        <v>403232000</v>
      </c>
      <c r="F139" s="16">
        <f>SUMIF(Estado!$A$9:$A$368,$B139,Estado!$E$9:$E$368)</f>
        <v>0</v>
      </c>
      <c r="G139" s="16">
        <f>SUMIF(Estado!$A$9:$A$368,$B139,Estado!$G$9:$G$368)</f>
        <v>0</v>
      </c>
      <c r="H139" s="16">
        <f>SUMIF(Estado!$A$9:$A$368,$B139,Estado!$I$9:$I$368)</f>
        <v>0</v>
      </c>
      <c r="I139" s="16">
        <f>SUMIF(Estado!$A$9:$A$368,$B139,Estado!$K$9:$K$368)</f>
        <v>402050748.29000002</v>
      </c>
      <c r="J139" s="16">
        <f t="shared" si="28"/>
        <v>402050748.29000002</v>
      </c>
      <c r="K139" s="16">
        <f>SUMIF(Estado!$A$9:$A$368,$B139,Estado!$O$9:$O$368)</f>
        <v>1181251.71</v>
      </c>
      <c r="L139" s="51">
        <f t="shared" si="26"/>
        <v>0.99707054075569401</v>
      </c>
      <c r="M139" s="51">
        <f t="shared" si="27"/>
        <v>2.9294592443060074E-3</v>
      </c>
    </row>
    <row r="140" spans="1:13" s="24" customFormat="1" ht="16.5" x14ac:dyDescent="0.25">
      <c r="A140" s="110"/>
      <c r="B140" s="107" t="str">
        <f>+Estado!A188</f>
        <v>E-60701</v>
      </c>
      <c r="C140" s="105" t="str">
        <f>IFERROR(VLOOKUP(B140,Estado!$A$9:$B$505,2,FALSE),0)</f>
        <v>TRANSF.C.TE ORG.INT.</v>
      </c>
      <c r="D140" s="16">
        <f>SUMIF(Estado!$A$9:$A$368,$B140,Estado!$C$9:$C$368)</f>
        <v>403232000</v>
      </c>
      <c r="E140" s="16">
        <f>SUMIF(Estado!$A$9:$A$368,$B140,Estado!$D$9:$D$368)</f>
        <v>403232000</v>
      </c>
      <c r="F140" s="16">
        <f>SUMIF(Estado!$A$9:$A$368,$B140,Estado!$E$9:$E$368)</f>
        <v>0</v>
      </c>
      <c r="G140" s="16">
        <f>SUMIF(Estado!$A$9:$A$368,$B140,Estado!$G$9:$G$368)</f>
        <v>0</v>
      </c>
      <c r="H140" s="16">
        <f>SUMIF(Estado!$A$9:$A$368,$B140,Estado!$I$9:$I$368)</f>
        <v>0</v>
      </c>
      <c r="I140" s="16">
        <f>SUMIF(Estado!$A$9:$A$368,$B140,Estado!$K$9:$K$368)</f>
        <v>402050748.29000002</v>
      </c>
      <c r="J140" s="16">
        <f t="shared" si="28"/>
        <v>402050748.29000002</v>
      </c>
      <c r="K140" s="16">
        <f>SUMIF(Estado!$A$9:$A$368,$B140,Estado!$O$9:$O$368)</f>
        <v>1181251.71</v>
      </c>
      <c r="L140" s="51">
        <f t="shared" si="26"/>
        <v>0.99707054075569401</v>
      </c>
      <c r="M140" s="51">
        <f t="shared" si="27"/>
        <v>2.9294592443060074E-3</v>
      </c>
    </row>
    <row r="141" spans="1:13" s="23" customFormat="1" ht="17.25" x14ac:dyDescent="0.25">
      <c r="A141" s="108"/>
      <c r="B141" s="109" t="str">
        <f>+Estado!A192</f>
        <v>E-7</v>
      </c>
      <c r="C141" s="106" t="str">
        <f>IFERROR(VLOOKUP(B141,Estado!$A$9:$B$505,2,FALSE),0)</f>
        <v>TRANSF. DE CAPITAL</v>
      </c>
      <c r="D141" s="22">
        <f>SUM(D142)</f>
        <v>10079203438</v>
      </c>
      <c r="E141" s="22">
        <f t="shared" ref="E141:K141" si="29">SUM(E142)</f>
        <v>10079203437.799999</v>
      </c>
      <c r="F141" s="22">
        <f t="shared" si="29"/>
        <v>0</v>
      </c>
      <c r="G141" s="22">
        <f t="shared" si="29"/>
        <v>0</v>
      </c>
      <c r="H141" s="22">
        <f t="shared" si="29"/>
        <v>0</v>
      </c>
      <c r="I141" s="22">
        <f t="shared" si="29"/>
        <v>4142986000</v>
      </c>
      <c r="J141" s="22">
        <f t="shared" si="29"/>
        <v>4142986000</v>
      </c>
      <c r="K141" s="22">
        <f t="shared" si="29"/>
        <v>5936217438</v>
      </c>
      <c r="L141" s="68">
        <f t="shared" si="26"/>
        <v>0.41104299813816297</v>
      </c>
      <c r="M141" s="68">
        <f t="shared" si="27"/>
        <v>0.58895700186183697</v>
      </c>
    </row>
    <row r="142" spans="1:13" s="24" customFormat="1" ht="16.5" x14ac:dyDescent="0.25">
      <c r="A142" s="110"/>
      <c r="B142" s="107" t="str">
        <f>+Estado!A193</f>
        <v>E-701</v>
      </c>
      <c r="C142" s="105" t="str">
        <f>IFERROR(VLOOKUP(B142,Estado!$A$9:$B$505,2,FALSE),0)</f>
        <v>TRANSF DE CTAL S PUB</v>
      </c>
      <c r="D142" s="16">
        <f>SUMIF(Estado!$A$9:$A$368,$B142,Estado!$C$9:$C$368)</f>
        <v>10079203438</v>
      </c>
      <c r="E142" s="16">
        <f>SUMIF(Estado!$A$9:$A$368,$B142,Estado!$D$9:$D$368)</f>
        <v>10079203437.799999</v>
      </c>
      <c r="F142" s="16">
        <f>SUMIF(Estado!$A$9:$A$368,$B142,Estado!$E$9:$E$368)</f>
        <v>0</v>
      </c>
      <c r="G142" s="16">
        <f>SUMIF(Estado!$A$9:$A$368,$B142,Estado!$G$9:$G$368)</f>
        <v>0</v>
      </c>
      <c r="H142" s="16">
        <f>SUMIF(Estado!$A$9:$A$368,$B142,Estado!$I$9:$I$368)</f>
        <v>0</v>
      </c>
      <c r="I142" s="16">
        <f>SUMIF(Estado!$A$9:$A$368,$B142,Estado!$K$9:$K$368)</f>
        <v>4142986000</v>
      </c>
      <c r="J142" s="16">
        <f t="shared" si="28"/>
        <v>4142986000</v>
      </c>
      <c r="K142" s="16">
        <f>SUMIF(Estado!$A$9:$A$368,$B142,Estado!$O$9:$O$368)</f>
        <v>5936217438</v>
      </c>
      <c r="L142" s="51">
        <f t="shared" si="26"/>
        <v>0.41104299813816297</v>
      </c>
      <c r="M142" s="51">
        <f t="shared" si="27"/>
        <v>0.58895700186183697</v>
      </c>
    </row>
    <row r="143" spans="1:13" s="24" customFormat="1" ht="16.5" x14ac:dyDescent="0.25">
      <c r="A143" s="110"/>
      <c r="B143" s="107" t="str">
        <f>+Estado!A194</f>
        <v>E-70102</v>
      </c>
      <c r="C143" s="105" t="str">
        <f>IFERROR(VLOOKUP(B143,Estado!$A$9:$B$505,2,FALSE),0)</f>
        <v>TRANSF.CTAL ORG.DESC</v>
      </c>
      <c r="D143" s="16">
        <f>SUMIF(Estado!$A$9:$A$368,$B143,Estado!$C$9:$C$368)</f>
        <v>10079203438</v>
      </c>
      <c r="E143" s="16">
        <f>SUMIF(Estado!$A$9:$A$368,$B143,Estado!$D$9:$D$368)</f>
        <v>10079203437.799999</v>
      </c>
      <c r="F143" s="16">
        <f>SUMIF(Estado!$A$9:$A$368,$B143,Estado!$E$9:$E$368)</f>
        <v>0</v>
      </c>
      <c r="G143" s="16">
        <f>SUMIF(Estado!$A$9:$A$368,$B143,Estado!$G$9:$G$368)</f>
        <v>0</v>
      </c>
      <c r="H143" s="16">
        <f>SUMIF(Estado!$A$9:$A$368,$B143,Estado!$I$9:$I$368)</f>
        <v>0</v>
      </c>
      <c r="I143" s="16">
        <f>SUMIF(Estado!$A$9:$A$368,$B143,Estado!$K$9:$K$368)</f>
        <v>4142986000</v>
      </c>
      <c r="J143" s="16">
        <f t="shared" si="28"/>
        <v>4142986000</v>
      </c>
      <c r="K143" s="16">
        <f>SUMIF(Estado!$A$9:$A$368,$B143,Estado!$O$9:$O$368)</f>
        <v>5936217438</v>
      </c>
      <c r="L143" s="51">
        <f t="shared" si="26"/>
        <v>0.41104299813816297</v>
      </c>
      <c r="M143" s="51">
        <f t="shared" si="27"/>
        <v>0.58895700186183697</v>
      </c>
    </row>
    <row r="144" spans="1:13" s="23" customFormat="1" ht="17.25" x14ac:dyDescent="0.25">
      <c r="A144" s="108"/>
      <c r="B144" s="109" t="s">
        <v>602</v>
      </c>
      <c r="C144" s="106" t="s">
        <v>603</v>
      </c>
      <c r="D144" s="22">
        <f>SUM(D145)</f>
        <v>1113822319</v>
      </c>
      <c r="E144" s="22">
        <f t="shared" ref="E144:K144" si="30">SUM(E145)</f>
        <v>835050754</v>
      </c>
      <c r="F144" s="22">
        <f t="shared" si="30"/>
        <v>0</v>
      </c>
      <c r="G144" s="22">
        <f t="shared" si="30"/>
        <v>0</v>
      </c>
      <c r="H144" s="22">
        <f t="shared" si="30"/>
        <v>0</v>
      </c>
      <c r="I144" s="22">
        <f t="shared" si="30"/>
        <v>0</v>
      </c>
      <c r="J144" s="22">
        <f t="shared" si="30"/>
        <v>0</v>
      </c>
      <c r="K144" s="22">
        <f t="shared" si="30"/>
        <v>1113822319</v>
      </c>
      <c r="L144" s="51">
        <f t="shared" ref="L144" si="31">+IFERROR(SUM(G144:I144)/D144,0)</f>
        <v>0</v>
      </c>
      <c r="M144" s="51">
        <f t="shared" ref="M144" si="32">+IFERROR(+K144/D144,0)</f>
        <v>1</v>
      </c>
    </row>
    <row r="145" spans="1:13" s="24" customFormat="1" ht="25.5" x14ac:dyDescent="0.25">
      <c r="A145" s="110"/>
      <c r="B145" s="107" t="s">
        <v>600</v>
      </c>
      <c r="C145" s="105" t="s">
        <v>601</v>
      </c>
      <c r="D145" s="16">
        <f>+D146</f>
        <v>1113822319</v>
      </c>
      <c r="E145" s="16">
        <f t="shared" ref="E145:K145" si="33">+E146</f>
        <v>835050754</v>
      </c>
      <c r="F145" s="16">
        <f t="shared" si="33"/>
        <v>0</v>
      </c>
      <c r="G145" s="16">
        <f t="shared" si="33"/>
        <v>0</v>
      </c>
      <c r="H145" s="16">
        <f t="shared" si="33"/>
        <v>0</v>
      </c>
      <c r="I145" s="16">
        <f t="shared" si="33"/>
        <v>0</v>
      </c>
      <c r="J145" s="16">
        <f t="shared" si="33"/>
        <v>0</v>
      </c>
      <c r="K145" s="16">
        <f t="shared" si="33"/>
        <v>1113822319</v>
      </c>
      <c r="L145" s="51">
        <f t="shared" ref="L145" si="34">+IFERROR(SUM(G145:I145)/D145,0)</f>
        <v>0</v>
      </c>
      <c r="M145" s="51">
        <f t="shared" ref="M145" si="35">+IFERROR(+K145/D145,0)</f>
        <v>1</v>
      </c>
    </row>
    <row r="146" spans="1:13" s="24" customFormat="1" ht="25.5" x14ac:dyDescent="0.25">
      <c r="A146" s="110"/>
      <c r="B146" s="107" t="s">
        <v>598</v>
      </c>
      <c r="C146" s="105" t="s">
        <v>599</v>
      </c>
      <c r="D146" s="16">
        <f>SUMIF(Estado!$A$9:$A$368,$B146,Estado!$C$9:$C$368)</f>
        <v>1113822319</v>
      </c>
      <c r="E146" s="16">
        <f>SUMIF(Estado!$A$9:$A$368,$B146,Estado!$D$9:$D$368)</f>
        <v>835050754</v>
      </c>
      <c r="F146" s="16">
        <f>SUMIF(Estado!$A$9:$A$368,$B146,Estado!$E$9:$E$368)</f>
        <v>0</v>
      </c>
      <c r="G146" s="16">
        <f>SUMIF(Estado!$A$9:$A$368,$B146,Estado!$G$9:$G$368)</f>
        <v>0</v>
      </c>
      <c r="H146" s="16">
        <f>SUMIF(Estado!$A$9:$A$368,$B146,Estado!$I$9:$I$368)</f>
        <v>0</v>
      </c>
      <c r="I146" s="16">
        <f>SUMIF(Estado!$A$9:$A$368,$B146,Estado!$K$9:$K$368)</f>
        <v>0</v>
      </c>
      <c r="J146" s="16">
        <f t="shared" ref="J146" si="36">SUM(G146:I146)</f>
        <v>0</v>
      </c>
      <c r="K146" s="16">
        <f>SUMIF(Estado!$A$9:$A$368,$B146,Estado!$O$9:$O$368)</f>
        <v>1113822319</v>
      </c>
      <c r="L146" s="51">
        <f t="shared" ref="L146" si="37">+IFERROR(SUM(G146:I146)/D146,0)</f>
        <v>0</v>
      </c>
      <c r="M146" s="51">
        <f t="shared" ref="M146" si="38">+IFERROR(+K146/D146,0)</f>
        <v>1</v>
      </c>
    </row>
    <row r="147" spans="1:13" ht="18" thickBot="1" x14ac:dyDescent="0.3">
      <c r="A147" s="111"/>
      <c r="B147" s="112"/>
      <c r="C147" s="9" t="s">
        <v>15</v>
      </c>
      <c r="D147" s="15">
        <f>+D3+D28+D82+D112+D127+D141+D144</f>
        <v>135812180150.99998</v>
      </c>
      <c r="E147" s="15">
        <f>+E3+E28+E82+E112+E127+E141+E144</f>
        <v>135533408585.79999</v>
      </c>
      <c r="F147" s="15">
        <f>+F3+F28+F82+F112+F127+F141+F144</f>
        <v>145678860.28</v>
      </c>
      <c r="G147" s="15">
        <f>+G3+G28+G82+G112+G127+G141+G144</f>
        <v>5240558036.1200008</v>
      </c>
      <c r="H147" s="15">
        <f>+H3+H28+H82+H112+H127+H141</f>
        <v>0</v>
      </c>
      <c r="I147" s="15">
        <f>+I3+I28+I82+I112+I127+I141+I144</f>
        <v>113634002244.82001</v>
      </c>
      <c r="J147" s="15">
        <f>+J3+J28+J82+J112+J127+J141+J144</f>
        <v>118874560280.94</v>
      </c>
      <c r="K147" s="15">
        <f>+K3+K28+K82+K112+K127+K141+K144</f>
        <v>16791941009.780001</v>
      </c>
      <c r="L147" s="69">
        <f t="shared" ref="L147" si="39">SUM(G147:I147)/D147</f>
        <v>0.87528644447627424</v>
      </c>
      <c r="M147" s="69">
        <f t="shared" ref="M147" si="40">+K147/D147</f>
        <v>0.1236409060741844</v>
      </c>
    </row>
    <row r="148" spans="1:13" x14ac:dyDescent="0.25">
      <c r="A148" s="111"/>
      <c r="B148" s="111"/>
      <c r="D148" s="34">
        <f>+D147-Estado!C10</f>
        <v>0</v>
      </c>
      <c r="E148" s="34">
        <f>+E147-Estado!D10</f>
        <v>0</v>
      </c>
      <c r="F148" s="34">
        <f>+F147-Estado!E10</f>
        <v>0</v>
      </c>
      <c r="G148" s="34">
        <f>+G147-Estado!G10</f>
        <v>0</v>
      </c>
      <c r="H148" s="34"/>
      <c r="I148" s="34">
        <f>+I147-Estado!K10</f>
        <v>0</v>
      </c>
      <c r="J148" s="34"/>
      <c r="K148" s="34">
        <f>+K147-Estado!O10</f>
        <v>0</v>
      </c>
      <c r="L148" s="34"/>
    </row>
  </sheetData>
  <mergeCells count="9">
    <mergeCell ref="L1:L2"/>
    <mergeCell ref="M1:M2"/>
    <mergeCell ref="C1:C2"/>
    <mergeCell ref="D1:D2"/>
    <mergeCell ref="E1:E2"/>
    <mergeCell ref="F1:F2"/>
    <mergeCell ref="G1:I1"/>
    <mergeCell ref="K1:K2"/>
    <mergeCell ref="J1:J2"/>
  </mergeCells>
  <pageMargins left="0.7" right="0.7" top="0.75" bottom="0.75" header="0.3" footer="0.3"/>
  <pageSetup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zoomScale="86" zoomScaleNormal="86" workbookViewId="0">
      <selection sqref="A1:I1"/>
    </sheetView>
  </sheetViews>
  <sheetFormatPr baseColWidth="10" defaultRowHeight="15" x14ac:dyDescent="0.25"/>
  <cols>
    <col min="1" max="1" width="8.5703125" style="24" bestFit="1" customWidth="1"/>
    <col min="2" max="2" width="45.7109375" style="24" bestFit="1" customWidth="1"/>
    <col min="3" max="4" width="20.28515625" style="24" bestFit="1" customWidth="1"/>
    <col min="5" max="5" width="19.7109375" style="24" bestFit="1" customWidth="1"/>
    <col min="6" max="6" width="20.28515625" style="24" bestFit="1" customWidth="1"/>
    <col min="7" max="7" width="20.7109375" style="90" customWidth="1"/>
    <col min="8" max="8" width="12.85546875" style="24" customWidth="1"/>
    <col min="9" max="9" width="14.28515625" style="24" customWidth="1"/>
    <col min="10" max="10" width="17.140625" style="25" bestFit="1" customWidth="1"/>
    <col min="11" max="11" width="15.140625" style="25" bestFit="1" customWidth="1"/>
    <col min="12" max="16384" width="11.42578125" style="24"/>
  </cols>
  <sheetData>
    <row r="1" spans="1:11" ht="15.75" x14ac:dyDescent="0.25">
      <c r="A1" s="189" t="s">
        <v>57</v>
      </c>
      <c r="B1" s="190"/>
      <c r="C1" s="190"/>
      <c r="D1" s="190"/>
      <c r="E1" s="190"/>
      <c r="F1" s="190"/>
      <c r="G1" s="190"/>
      <c r="H1" s="190"/>
      <c r="I1" s="190"/>
    </row>
    <row r="2" spans="1:11" ht="15.75" x14ac:dyDescent="0.25">
      <c r="A2" s="189" t="str">
        <f>+Estado!A4</f>
        <v xml:space="preserve">AL 31 DE DICIEMBRE 2017        </v>
      </c>
      <c r="B2" s="190"/>
      <c r="C2" s="190"/>
      <c r="D2" s="190"/>
      <c r="E2" s="190"/>
      <c r="F2" s="190"/>
      <c r="G2" s="190"/>
      <c r="H2" s="190"/>
      <c r="I2" s="190"/>
    </row>
    <row r="3" spans="1:11" ht="15.75" x14ac:dyDescent="0.25">
      <c r="A3" s="189" t="s">
        <v>55</v>
      </c>
      <c r="B3" s="190"/>
      <c r="C3" s="190"/>
      <c r="D3" s="190"/>
      <c r="E3" s="190"/>
      <c r="F3" s="190"/>
      <c r="G3" s="190"/>
      <c r="H3" s="190"/>
      <c r="I3" s="190"/>
    </row>
    <row r="4" spans="1:11" ht="15.75" thickBot="1" x14ac:dyDescent="0.3"/>
    <row r="5" spans="1:11" x14ac:dyDescent="0.25">
      <c r="A5" s="219" t="s">
        <v>0</v>
      </c>
      <c r="B5" s="223" t="s">
        <v>549</v>
      </c>
      <c r="C5" s="210" t="s">
        <v>550</v>
      </c>
      <c r="D5" s="210" t="s">
        <v>2</v>
      </c>
      <c r="E5" s="210" t="s">
        <v>3</v>
      </c>
      <c r="F5" s="70" t="s">
        <v>4</v>
      </c>
      <c r="G5" s="221" t="s">
        <v>6</v>
      </c>
      <c r="H5" s="210" t="s">
        <v>7</v>
      </c>
      <c r="I5" s="217" t="s">
        <v>8</v>
      </c>
    </row>
    <row r="6" spans="1:11" x14ac:dyDescent="0.25">
      <c r="A6" s="220"/>
      <c r="B6" s="224"/>
      <c r="C6" s="211"/>
      <c r="D6" s="211"/>
      <c r="E6" s="211"/>
      <c r="F6" s="71" t="s">
        <v>5</v>
      </c>
      <c r="G6" s="222"/>
      <c r="H6" s="211"/>
      <c r="I6" s="218"/>
    </row>
    <row r="7" spans="1:11" s="23" customFormat="1" x14ac:dyDescent="0.25">
      <c r="A7" s="151" t="str">
        <f>+Hoja4!B3</f>
        <v>E-0</v>
      </c>
      <c r="B7" s="152" t="str">
        <f>+Hoja4!C3</f>
        <v>REMUNERACIONES</v>
      </c>
      <c r="C7" s="153">
        <f>+C8+C12+C16+C22+C25+C30</f>
        <v>86418080010.330002</v>
      </c>
      <c r="D7" s="153">
        <f t="shared" ref="D7:G7" si="0">+D8+D12+D16+D22+D25+D30</f>
        <v>86418080010.330002</v>
      </c>
      <c r="E7" s="153">
        <f t="shared" si="0"/>
        <v>0</v>
      </c>
      <c r="F7" s="153">
        <f t="shared" si="0"/>
        <v>82019684971.570007</v>
      </c>
      <c r="G7" s="153">
        <f t="shared" si="0"/>
        <v>4398395038.7600002</v>
      </c>
      <c r="H7" s="154">
        <f>+IFERROR(Hoja4!L3,0)</f>
        <v>0.94910330062604709</v>
      </c>
      <c r="I7" s="154">
        <f>+IFERROR(Hoja4!M3,0)</f>
        <v>5.0896699373953205E-2</v>
      </c>
      <c r="J7" s="128">
        <f>+F7-Hoja4!J3</f>
        <v>0</v>
      </c>
      <c r="K7" s="128">
        <f>+C7-Estado!C11</f>
        <v>0</v>
      </c>
    </row>
    <row r="8" spans="1:11" x14ac:dyDescent="0.25">
      <c r="A8" s="72" t="str">
        <f>+Hoja4!B4</f>
        <v>E-001</v>
      </c>
      <c r="B8" s="102" t="str">
        <f>+Hoja4!C4</f>
        <v>REMUNERACIONES BASIC</v>
      </c>
      <c r="C8" s="73">
        <f>SUM(C9:C11)</f>
        <v>31112638934</v>
      </c>
      <c r="D8" s="73">
        <f t="shared" ref="D8:G8" si="1">SUM(D9:D11)</f>
        <v>31112638934</v>
      </c>
      <c r="E8" s="73">
        <f t="shared" si="1"/>
        <v>0</v>
      </c>
      <c r="F8" s="73">
        <f t="shared" si="1"/>
        <v>29451380276.57</v>
      </c>
      <c r="G8" s="73">
        <f t="shared" si="1"/>
        <v>1661258657.4300001</v>
      </c>
      <c r="H8" s="143">
        <f>+IFERROR(Hoja4!L4,0)</f>
        <v>0.94660502244910616</v>
      </c>
      <c r="I8" s="143">
        <f>+IFERROR(Hoja4!M4,0)</f>
        <v>5.3394977550893979E-2</v>
      </c>
    </row>
    <row r="9" spans="1:11" x14ac:dyDescent="0.25">
      <c r="A9" s="74" t="str">
        <f>+Hoja4!B5</f>
        <v>E-00101</v>
      </c>
      <c r="B9" s="103" t="str">
        <f>+Hoja4!C5</f>
        <v>SUELDOS P/ C. FIJOS</v>
      </c>
      <c r="C9" s="100">
        <f>+SUMIF(Hoja4!$B$3:$B$164,$A9,Hoja4!$D$3:$D$164)</f>
        <v>30844780124</v>
      </c>
      <c r="D9" s="100">
        <f>+SUMIF(Hoja4!$B$3:$B$164,$A9,Hoja4!$E$3:$E$164)</f>
        <v>30844780124</v>
      </c>
      <c r="E9" s="100">
        <f>+SUMIF(Hoja4!$B$3:$B$164,$A9,Hoja4!$F$3:$F$164)</f>
        <v>0</v>
      </c>
      <c r="F9" s="100">
        <f>+SUMIF(Hoja4!$B$3:$B$164,$A9,Hoja4!$J$3:$J$164)</f>
        <v>29206723405.59</v>
      </c>
      <c r="G9" s="100">
        <f>+SUMIF(Hoja4!$B$3:$B$164,$A9,Hoja4!$K$3:$K$164)</f>
        <v>1638056718.4100001</v>
      </c>
      <c r="H9" s="138">
        <f>+IFERROR(Hoja4!L5,0)</f>
        <v>0.9468935517833228</v>
      </c>
      <c r="I9" s="138">
        <f>+IFERROR(Hoja4!M5,0)</f>
        <v>5.3106448216677198E-2</v>
      </c>
    </row>
    <row r="10" spans="1:11" x14ac:dyDescent="0.25">
      <c r="A10" s="74" t="str">
        <f>+Hoja4!B6</f>
        <v>E-00103</v>
      </c>
      <c r="B10" s="103" t="str">
        <f>+Hoja4!C6</f>
        <v>SERVICIOS ESPECIALES</v>
      </c>
      <c r="C10" s="100">
        <f>+SUMIF(Hoja4!$B$3:$B$164,$A10,Hoja4!$D$3:$D$164)</f>
        <v>262858810</v>
      </c>
      <c r="D10" s="100">
        <f>+SUMIF(Hoja4!$B$3:$B$164,$A10,Hoja4!$E$3:$E$164)</f>
        <v>262858810</v>
      </c>
      <c r="E10" s="100">
        <f>+SUMIF(Hoja4!$B$3:$B$164,$A10,Hoja4!$F$3:$F$164)</f>
        <v>0</v>
      </c>
      <c r="F10" s="100">
        <f>+SUMIF(Hoja4!$B$3:$B$164,$A10,Hoja4!$J$3:$J$164)</f>
        <v>243097520.97999999</v>
      </c>
      <c r="G10" s="100">
        <f>+SUMIF(Hoja4!$B$3:$B$164,$A10,Hoja4!$K$3:$K$164)</f>
        <v>19761289.02</v>
      </c>
      <c r="H10" s="138">
        <f>+IFERROR(Hoja4!L6,0)</f>
        <v>0.92482165988653753</v>
      </c>
      <c r="I10" s="138">
        <f>+IFERROR(Hoja4!M6,0)</f>
        <v>7.517834011346243E-2</v>
      </c>
    </row>
    <row r="11" spans="1:11" x14ac:dyDescent="0.25">
      <c r="A11" s="74" t="str">
        <f>+Hoja4!B7</f>
        <v>E-00105</v>
      </c>
      <c r="B11" s="103" t="str">
        <f>+Hoja4!C7</f>
        <v>SUPLENCIAS</v>
      </c>
      <c r="C11" s="100">
        <f>+SUMIF(Hoja4!$B$3:$B$164,$A11,Hoja4!$D$3:$D$164)</f>
        <v>5000000</v>
      </c>
      <c r="D11" s="100">
        <f>+SUMIF(Hoja4!$B$3:$B$164,$A11,Hoja4!$E$3:$E$164)</f>
        <v>5000000</v>
      </c>
      <c r="E11" s="100">
        <f>+SUMIF(Hoja4!$B$3:$B$164,$A11,Hoja4!$F$3:$F$164)</f>
        <v>0</v>
      </c>
      <c r="F11" s="100">
        <f>+SUMIF(Hoja4!$B$3:$B$164,$A11,Hoja4!$J$3:$J$164)</f>
        <v>1559350</v>
      </c>
      <c r="G11" s="100">
        <f>+SUMIF(Hoja4!$B$3:$B$164,$A11,Hoja4!$K$3:$K$164)</f>
        <v>3440650</v>
      </c>
      <c r="H11" s="138">
        <f>+IFERROR(Hoja4!L7,0)</f>
        <v>0.31186999999999998</v>
      </c>
      <c r="I11" s="138">
        <f>+IFERROR(Hoja4!M7,0)</f>
        <v>0.68813000000000002</v>
      </c>
    </row>
    <row r="12" spans="1:11" x14ac:dyDescent="0.25">
      <c r="A12" s="72" t="str">
        <f>+Hoja4!B8</f>
        <v>E-002</v>
      </c>
      <c r="B12" s="102" t="str">
        <f>+Hoja4!C8</f>
        <v>REMUNERACIONES EVENT</v>
      </c>
      <c r="C12" s="73">
        <f>SUM(C13:C15)</f>
        <v>3336396105</v>
      </c>
      <c r="D12" s="73">
        <f t="shared" ref="D12:G12" si="2">SUM(D13:D15)</f>
        <v>3336396105</v>
      </c>
      <c r="E12" s="73">
        <f t="shared" si="2"/>
        <v>0</v>
      </c>
      <c r="F12" s="73">
        <f t="shared" si="2"/>
        <v>3255875051.25</v>
      </c>
      <c r="G12" s="73">
        <f t="shared" si="2"/>
        <v>80521053.75</v>
      </c>
      <c r="H12" s="143">
        <f>+IFERROR(Hoja4!L8,0)</f>
        <v>0.97586585908389911</v>
      </c>
      <c r="I12" s="143">
        <f>+IFERROR(Hoja4!M8,0)</f>
        <v>2.4134140916100846E-2</v>
      </c>
    </row>
    <row r="13" spans="1:11" x14ac:dyDescent="0.25">
      <c r="A13" s="74" t="str">
        <f>+Hoja4!B9</f>
        <v>E-00201</v>
      </c>
      <c r="B13" s="103" t="str">
        <f>+Hoja4!C9</f>
        <v>TIEMPO EXTRAORD.</v>
      </c>
      <c r="C13" s="100">
        <f>+SUMIF(Hoja4!$B$3:$B$164,$A13,Hoja4!$D$3:$D$164)</f>
        <v>31000000</v>
      </c>
      <c r="D13" s="100">
        <f>+SUMIF(Hoja4!$B$3:$B$164,$A13,Hoja4!$E$3:$E$164)</f>
        <v>31000000</v>
      </c>
      <c r="E13" s="100">
        <f>+SUMIF(Hoja4!$B$3:$B$164,$A13,Hoja4!$F$3:$F$164)</f>
        <v>0</v>
      </c>
      <c r="F13" s="100">
        <f>+SUMIF(Hoja4!$B$3:$B$164,$A13,Hoja4!$J$3:$J$164)</f>
        <v>18005019.91</v>
      </c>
      <c r="G13" s="100">
        <f>+SUMIF(Hoja4!$B$3:$B$164,$A13,Hoja4!$K$3:$K$164)</f>
        <v>12994980.09</v>
      </c>
      <c r="H13" s="138">
        <f>+IFERROR(Hoja4!L9,0)</f>
        <v>0.58080709387096774</v>
      </c>
      <c r="I13" s="138">
        <f>+IFERROR(Hoja4!M9,0)</f>
        <v>0.41919290612903226</v>
      </c>
    </row>
    <row r="14" spans="1:11" x14ac:dyDescent="0.25">
      <c r="A14" s="74" t="str">
        <f>+Hoja4!B10</f>
        <v>E-00202</v>
      </c>
      <c r="B14" s="103" t="str">
        <f>+Hoja4!C10</f>
        <v>RECARGO DE FUNCIONES</v>
      </c>
      <c r="C14" s="100">
        <f>+SUMIF(Hoja4!$B$3:$B$164,$A14,Hoja4!$D$3:$D$164)</f>
        <v>29000000</v>
      </c>
      <c r="D14" s="100">
        <f>+SUMIF(Hoja4!$B$3:$B$164,$A14,Hoja4!$E$3:$E$164)</f>
        <v>29000000</v>
      </c>
      <c r="E14" s="100">
        <f>+SUMIF(Hoja4!$B$3:$B$164,$A14,Hoja4!$F$3:$F$164)</f>
        <v>0</v>
      </c>
      <c r="F14" s="100">
        <f>+SUMIF(Hoja4!$B$3:$B$164,$A14,Hoja4!$J$3:$J$164)</f>
        <v>15215155</v>
      </c>
      <c r="G14" s="100">
        <f>+SUMIF(Hoja4!$B$3:$B$164,$A14,Hoja4!$K$3:$K$164)</f>
        <v>13784845</v>
      </c>
      <c r="H14" s="138">
        <f>+IFERROR(Hoja4!L10,0)</f>
        <v>0.5246605172413793</v>
      </c>
      <c r="I14" s="138">
        <f>+IFERROR(Hoja4!M10,0)</f>
        <v>0.4753394827586207</v>
      </c>
    </row>
    <row r="15" spans="1:11" x14ac:dyDescent="0.25">
      <c r="A15" s="74" t="str">
        <f>+Hoja4!B11</f>
        <v>E-00203</v>
      </c>
      <c r="B15" s="103" t="str">
        <f>+Hoja4!C11</f>
        <v>DISPONIBILIDAD LAB.</v>
      </c>
      <c r="C15" s="100">
        <f>+SUMIF(Hoja4!$B$3:$B$164,$A15,Hoja4!$D$3:$D$164)</f>
        <v>3276396105</v>
      </c>
      <c r="D15" s="100">
        <f>+SUMIF(Hoja4!$B$3:$B$164,$A15,Hoja4!$E$3:$E$164)</f>
        <v>3276396105</v>
      </c>
      <c r="E15" s="100">
        <f>+SUMIF(Hoja4!$B$3:$B$164,$A15,Hoja4!$F$3:$F$164)</f>
        <v>0</v>
      </c>
      <c r="F15" s="100">
        <f>+SUMIF(Hoja4!$B$3:$B$164,$A15,Hoja4!$J$3:$J$164)</f>
        <v>3222654876.3400002</v>
      </c>
      <c r="G15" s="100">
        <f>+SUMIF(Hoja4!$B$3:$B$164,$A15,Hoja4!$K$3:$K$164)</f>
        <v>53741228.659999996</v>
      </c>
      <c r="H15" s="138">
        <f>+IFERROR(Hoja4!L11,0)</f>
        <v>0.98359745679773358</v>
      </c>
      <c r="I15" s="138">
        <f>+IFERROR(Hoja4!M11,0)</f>
        <v>1.6402543202266442E-2</v>
      </c>
    </row>
    <row r="16" spans="1:11" x14ac:dyDescent="0.25">
      <c r="A16" s="72" t="str">
        <f>+Hoja4!B12</f>
        <v>E-003</v>
      </c>
      <c r="B16" s="102" t="str">
        <f>+Hoja4!C12</f>
        <v>INCENTIVOS SALARIAL</v>
      </c>
      <c r="C16" s="73">
        <f>SUM(C17:C21)</f>
        <v>38787164079.740005</v>
      </c>
      <c r="D16" s="73">
        <f t="shared" ref="D16:G16" si="3">SUM(D17:D21)</f>
        <v>38787164079.740005</v>
      </c>
      <c r="E16" s="73">
        <f t="shared" si="3"/>
        <v>0</v>
      </c>
      <c r="F16" s="73">
        <f t="shared" si="3"/>
        <v>36973399068.369995</v>
      </c>
      <c r="G16" s="73">
        <f t="shared" si="3"/>
        <v>1813765011.3700001</v>
      </c>
      <c r="H16" s="143">
        <f>+IFERROR(Hoja4!L12,0)</f>
        <v>0.95323800916093804</v>
      </c>
      <c r="I16" s="143">
        <f>+IFERROR(Hoja4!M12,0)</f>
        <v>4.6761990839062087E-2</v>
      </c>
    </row>
    <row r="17" spans="1:11" x14ac:dyDescent="0.25">
      <c r="A17" s="74" t="str">
        <f>+Hoja4!B13</f>
        <v>E-00301</v>
      </c>
      <c r="B17" s="103" t="str">
        <f>+Hoja4!C13</f>
        <v>RETRIB AÑOS SERVIDOS</v>
      </c>
      <c r="C17" s="100">
        <f>+SUMIF(Hoja4!$B$3:$B$164,$A17,Hoja4!$D$3:$D$164)</f>
        <v>11079175713</v>
      </c>
      <c r="D17" s="100">
        <f>+SUMIF(Hoja4!$B$3:$B$164,$A17,Hoja4!$E$3:$E$164)</f>
        <v>11079175713</v>
      </c>
      <c r="E17" s="100">
        <f>+SUMIF(Hoja4!$B$3:$B$164,$A17,Hoja4!$F$3:$F$164)</f>
        <v>0</v>
      </c>
      <c r="F17" s="100">
        <f>+SUMIF(Hoja4!$B$3:$B$164,$A17,Hoja4!$J$3:$J$164)</f>
        <v>10814860078.99</v>
      </c>
      <c r="G17" s="100">
        <f>+SUMIF(Hoja4!$B$3:$B$164,$A17,Hoja4!$K$3:$K$164)</f>
        <v>264315634.00999999</v>
      </c>
      <c r="H17" s="138">
        <f>+IFERROR(Hoja4!L13,0)</f>
        <v>0.97614302355545646</v>
      </c>
      <c r="I17" s="138">
        <f>+IFERROR(Hoja4!M13,0)</f>
        <v>2.385697644454355E-2</v>
      </c>
    </row>
    <row r="18" spans="1:11" x14ac:dyDescent="0.25">
      <c r="A18" s="74" t="str">
        <f>+Hoja4!B14</f>
        <v>E-00302</v>
      </c>
      <c r="B18" s="103" t="str">
        <f>+Hoja4!C14</f>
        <v>REST. EJERC LIB PROF</v>
      </c>
      <c r="C18" s="100">
        <f>+SUMIF(Hoja4!$B$3:$B$164,$A18,Hoja4!$D$3:$D$164)</f>
        <v>8120006169.5</v>
      </c>
      <c r="D18" s="100">
        <f>+SUMIF(Hoja4!$B$3:$B$164,$A18,Hoja4!$E$3:$E$164)</f>
        <v>8120006169.5</v>
      </c>
      <c r="E18" s="100">
        <f>+SUMIF(Hoja4!$B$3:$B$164,$A18,Hoja4!$F$3:$F$164)</f>
        <v>0</v>
      </c>
      <c r="F18" s="100">
        <f>+SUMIF(Hoja4!$B$3:$B$164,$A18,Hoja4!$J$3:$J$164)</f>
        <v>7440787474.6700001</v>
      </c>
      <c r="G18" s="100">
        <f>+SUMIF(Hoja4!$B$3:$B$164,$A18,Hoja4!$K$3:$K$164)</f>
        <v>679218694.83000004</v>
      </c>
      <c r="H18" s="138">
        <f>+IFERROR(Hoja4!L14,0)</f>
        <v>0.91635244103862257</v>
      </c>
      <c r="I18" s="138">
        <f>+IFERROR(Hoja4!M14,0)</f>
        <v>8.3647558961377461E-2</v>
      </c>
    </row>
    <row r="19" spans="1:11" x14ac:dyDescent="0.25">
      <c r="A19" s="74" t="str">
        <f>+Hoja4!B15</f>
        <v>E-00303</v>
      </c>
      <c r="B19" s="103" t="str">
        <f>+Hoja4!C15</f>
        <v>DECIMOTERCER MES</v>
      </c>
      <c r="C19" s="100">
        <f>+SUMIF(Hoja4!$B$3:$B$164,$A19,Hoja4!$D$3:$D$164)</f>
        <v>5596807551.5100002</v>
      </c>
      <c r="D19" s="100">
        <f>+SUMIF(Hoja4!$B$3:$B$164,$A19,Hoja4!$E$3:$E$164)</f>
        <v>5596807551.5100002</v>
      </c>
      <c r="E19" s="100">
        <f>+SUMIF(Hoja4!$B$3:$B$164,$A19,Hoja4!$F$3:$F$164)</f>
        <v>0</v>
      </c>
      <c r="F19" s="100">
        <f>+SUMIF(Hoja4!$B$3:$B$164,$A19,Hoja4!$J$3:$J$164)</f>
        <v>5360358227.8699999</v>
      </c>
      <c r="G19" s="100">
        <f>+SUMIF(Hoja4!$B$3:$B$164,$A19,Hoja4!$K$3:$K$164)</f>
        <v>236449323.63999999</v>
      </c>
      <c r="H19" s="138">
        <f>+IFERROR(Hoja4!L15,0)</f>
        <v>0.95775282221805047</v>
      </c>
      <c r="I19" s="138">
        <f>+IFERROR(Hoja4!M15,0)</f>
        <v>4.2247177781949412E-2</v>
      </c>
    </row>
    <row r="20" spans="1:11" x14ac:dyDescent="0.25">
      <c r="A20" s="74" t="str">
        <f>+Hoja4!B16</f>
        <v>E-00304</v>
      </c>
      <c r="B20" s="103" t="str">
        <f>+Hoja4!C16</f>
        <v>SALARIO ESCOLAR</v>
      </c>
      <c r="C20" s="100">
        <f>+SUMIF(Hoja4!$B$3:$B$164,$A20,Hoja4!$D$3:$D$164)</f>
        <v>4696067006.7299995</v>
      </c>
      <c r="D20" s="100">
        <f>+SUMIF(Hoja4!$B$3:$B$164,$A20,Hoja4!$E$3:$E$164)</f>
        <v>4696067006.7299995</v>
      </c>
      <c r="E20" s="100">
        <f>+SUMIF(Hoja4!$B$3:$B$164,$A20,Hoja4!$F$3:$F$164)</f>
        <v>0</v>
      </c>
      <c r="F20" s="100">
        <f>+SUMIF(Hoja4!$B$3:$B$164,$A20,Hoja4!$J$3:$J$164)</f>
        <v>4609723534.5600004</v>
      </c>
      <c r="G20" s="100">
        <f>+SUMIF(Hoja4!$B$3:$B$164,$A20,Hoja4!$K$3:$K$164)</f>
        <v>86343472.169999987</v>
      </c>
      <c r="H20" s="138">
        <f>+IFERROR(Hoja4!L16,0)</f>
        <v>0.98161366265722805</v>
      </c>
      <c r="I20" s="138">
        <f>+IFERROR(Hoja4!M16,0)</f>
        <v>1.8386337342772143E-2</v>
      </c>
    </row>
    <row r="21" spans="1:11" x14ac:dyDescent="0.25">
      <c r="A21" s="74" t="str">
        <f>+Hoja4!B17</f>
        <v>E-00399</v>
      </c>
      <c r="B21" s="103" t="str">
        <f>+Hoja4!C17</f>
        <v>OTROS INCENT SALAR.</v>
      </c>
      <c r="C21" s="100">
        <f>+SUMIF(Hoja4!$B$3:$B$164,$A21,Hoja4!$D$3:$D$164)</f>
        <v>9295107639</v>
      </c>
      <c r="D21" s="100">
        <f>+SUMIF(Hoja4!$B$3:$B$164,$A21,Hoja4!$E$3:$E$164)</f>
        <v>9295107639</v>
      </c>
      <c r="E21" s="100">
        <f>+SUMIF(Hoja4!$B$3:$B$164,$A21,Hoja4!$F$3:$F$164)</f>
        <v>0</v>
      </c>
      <c r="F21" s="100">
        <f>+SUMIF(Hoja4!$B$3:$B$164,$A21,Hoja4!$J$3:$J$164)</f>
        <v>8747669752.2799988</v>
      </c>
      <c r="G21" s="100">
        <f>+SUMIF(Hoja4!$B$3:$B$164,$A21,Hoja4!$K$3:$K$164)</f>
        <v>547437886.72000003</v>
      </c>
      <c r="H21" s="138">
        <f>+IFERROR(Hoja4!L17,0)</f>
        <v>0.941104728639926</v>
      </c>
      <c r="I21" s="138">
        <f>+IFERROR(Hoja4!M17,0)</f>
        <v>5.8895271360073817E-2</v>
      </c>
    </row>
    <row r="22" spans="1:11" x14ac:dyDescent="0.25">
      <c r="A22" s="72" t="str">
        <f>+Hoja4!B18</f>
        <v>E-004</v>
      </c>
      <c r="B22" s="102" t="str">
        <f>+Hoja4!C18</f>
        <v>CONT PATR DESA S.SOC</v>
      </c>
      <c r="C22" s="73">
        <f>SUM(C23:C24)</f>
        <v>6613396228.0500002</v>
      </c>
      <c r="D22" s="73">
        <f t="shared" ref="D22:G22" si="4">SUM(D23:D24)</f>
        <v>6613396228.0500002</v>
      </c>
      <c r="E22" s="73">
        <f t="shared" si="4"/>
        <v>0</v>
      </c>
      <c r="F22" s="73">
        <f t="shared" si="4"/>
        <v>6235494699.1099997</v>
      </c>
      <c r="G22" s="73">
        <f t="shared" si="4"/>
        <v>377901528.94</v>
      </c>
      <c r="H22" s="143">
        <f>+IFERROR(Hoja4!L18,0)</f>
        <v>0.94285817514801662</v>
      </c>
      <c r="I22" s="143">
        <f>+IFERROR(Hoja4!M18,0)</f>
        <v>5.7141824851983283E-2</v>
      </c>
    </row>
    <row r="23" spans="1:11" x14ac:dyDescent="0.25">
      <c r="A23" s="74" t="str">
        <f>+Hoja4!B19</f>
        <v>E-00401</v>
      </c>
      <c r="B23" s="103" t="str">
        <f>+Hoja4!C19</f>
        <v>CONT P.SEG.S C.C.S.S</v>
      </c>
      <c r="C23" s="100">
        <f>+SUMIF(Hoja4!$B$3:$B$164,$A23,Hoja4!$D$3:$D$164)</f>
        <v>6274243912.4300003</v>
      </c>
      <c r="D23" s="100">
        <f>+SUMIF(Hoja4!$B$3:$B$164,$A23,Hoja4!$E$3:$E$164)</f>
        <v>6274243912.4300003</v>
      </c>
      <c r="E23" s="100">
        <f>+SUMIF(Hoja4!$B$3:$B$164,$A23,Hoja4!$F$3:$F$164)</f>
        <v>0</v>
      </c>
      <c r="F23" s="100">
        <f>+SUMIF(Hoja4!$B$3:$B$164,$A23,Hoja4!$J$3:$J$164)</f>
        <v>5915752656.0299997</v>
      </c>
      <c r="G23" s="100">
        <f>+SUMIF(Hoja4!$B$3:$B$164,$A23,Hoja4!$K$3:$K$164)</f>
        <v>358491256.39999998</v>
      </c>
      <c r="H23" s="138">
        <f>+IFERROR(Hoja4!L19,0)</f>
        <v>0.94286303474912925</v>
      </c>
      <c r="I23" s="138">
        <f>+IFERROR(Hoja4!M19,0)</f>
        <v>5.7136965250870704E-2</v>
      </c>
    </row>
    <row r="24" spans="1:11" x14ac:dyDescent="0.25">
      <c r="A24" s="74" t="str">
        <f>+Hoja4!B20</f>
        <v>E-00405</v>
      </c>
      <c r="B24" s="103" t="str">
        <f>+Hoja4!C20</f>
        <v>CONTRIB PAT B.P.D.C.</v>
      </c>
      <c r="C24" s="100">
        <f>+SUMIF(Hoja4!$B$3:$B$164,$A24,Hoja4!$D$3:$D$164)</f>
        <v>339152315.62</v>
      </c>
      <c r="D24" s="100">
        <f>+SUMIF(Hoja4!$B$3:$B$164,$A24,Hoja4!$E$3:$E$164)</f>
        <v>339152315.62</v>
      </c>
      <c r="E24" s="100">
        <f>+SUMIF(Hoja4!$B$3:$B$164,$A24,Hoja4!$F$3:$F$164)</f>
        <v>0</v>
      </c>
      <c r="F24" s="100">
        <f>+SUMIF(Hoja4!$B$3:$B$164,$A24,Hoja4!$J$3:$J$164)</f>
        <v>319742043.07999998</v>
      </c>
      <c r="G24" s="100">
        <f>+SUMIF(Hoja4!$B$3:$B$164,$A24,Hoja4!$K$3:$K$164)</f>
        <v>19410272.539999999</v>
      </c>
      <c r="H24" s="138">
        <f>+IFERROR(Hoja4!L20,0)</f>
        <v>0.9427682735867029</v>
      </c>
      <c r="I24" s="138">
        <f>+IFERROR(Hoja4!M20,0)</f>
        <v>5.7231726413297011E-2</v>
      </c>
    </row>
    <row r="25" spans="1:11" x14ac:dyDescent="0.25">
      <c r="A25" s="72" t="str">
        <f>+Hoja4!B21</f>
        <v>E-005</v>
      </c>
      <c r="B25" s="102" t="str">
        <f>+Hoja4!C21</f>
        <v>CONT PATR F.PENS OTR</v>
      </c>
      <c r="C25" s="73">
        <f>SUM(C26:C29)</f>
        <v>6568184663.54</v>
      </c>
      <c r="D25" s="73">
        <f t="shared" ref="D25:G25" si="5">SUM(D26:D29)</f>
        <v>6568184663.54</v>
      </c>
      <c r="E25" s="73">
        <f t="shared" si="5"/>
        <v>0</v>
      </c>
      <c r="F25" s="73">
        <f t="shared" si="5"/>
        <v>6103235876.2699995</v>
      </c>
      <c r="G25" s="73">
        <f t="shared" si="5"/>
        <v>464948787.26999998</v>
      </c>
      <c r="H25" s="143">
        <f>+IFERROR(Hoja4!L21,0)</f>
        <v>0.9292119800085813</v>
      </c>
      <c r="I25" s="143">
        <f>+IFERROR(Hoja4!M21,0)</f>
        <v>7.0788019991418816E-2</v>
      </c>
    </row>
    <row r="26" spans="1:11" s="23" customFormat="1" x14ac:dyDescent="0.25">
      <c r="A26" s="74" t="str">
        <f>+Hoja4!B22</f>
        <v>E-00501</v>
      </c>
      <c r="B26" s="103" t="str">
        <f>+Hoja4!C22</f>
        <v>CONT P.SPENS.C.C.S.S</v>
      </c>
      <c r="C26" s="100">
        <f>+SUMIF(Hoja4!$B$3:$B$164,$A26,Hoja4!$D$3:$D$164)</f>
        <v>3405482793.1700001</v>
      </c>
      <c r="D26" s="100">
        <f>+SUMIF(Hoja4!$B$3:$B$164,$A26,Hoja4!$E$3:$E$164)</f>
        <v>3405482793.1700001</v>
      </c>
      <c r="E26" s="100">
        <f>+SUMIF(Hoja4!$B$3:$B$164,$A26,Hoja4!$F$3:$F$164)</f>
        <v>0</v>
      </c>
      <c r="F26" s="100">
        <f>+SUMIF(Hoja4!$B$3:$B$164,$A26,Hoja4!$J$3:$J$164)</f>
        <v>3131709086.29</v>
      </c>
      <c r="G26" s="100">
        <f>+SUMIF(Hoja4!$B$3:$B$164,$A26,Hoja4!$K$3:$K$164)</f>
        <v>273773706.88</v>
      </c>
      <c r="H26" s="143">
        <f>+IFERROR(Hoja4!L22,0)</f>
        <v>0.91960796060133454</v>
      </c>
      <c r="I26" s="143">
        <f>+IFERROR(Hoja4!M22,0)</f>
        <v>8.0392039398665474E-2</v>
      </c>
      <c r="J26" s="128"/>
      <c r="K26" s="128"/>
    </row>
    <row r="27" spans="1:11" x14ac:dyDescent="0.25">
      <c r="A27" s="74" t="str">
        <f>+Hoja4!B23</f>
        <v>E-00502</v>
      </c>
      <c r="B27" s="103" t="str">
        <f>+Hoja4!C23</f>
        <v>APORT P.RÉG.OBLI.P.C</v>
      </c>
      <c r="C27" s="100">
        <f>+SUMIF(Hoja4!$B$3:$B$164,$A27,Hoja4!$D$3:$D$164)</f>
        <v>1017449954.2</v>
      </c>
      <c r="D27" s="100">
        <f>+SUMIF(Hoja4!$B$3:$B$164,$A27,Hoja4!$E$3:$E$164)</f>
        <v>1017449954.2</v>
      </c>
      <c r="E27" s="100">
        <f>+SUMIF(Hoja4!$B$3:$B$164,$A27,Hoja4!$F$3:$F$164)</f>
        <v>0</v>
      </c>
      <c r="F27" s="100">
        <f>+SUMIF(Hoja4!$B$3:$B$164,$A27,Hoja4!$J$3:$J$164)</f>
        <v>959226557.25</v>
      </c>
      <c r="G27" s="100">
        <f>+SUMIF(Hoja4!$B$3:$B$164,$A27,Hoja4!$K$3:$K$164)</f>
        <v>58223396.950000003</v>
      </c>
      <c r="H27" s="138">
        <f>+IFERROR(Hoja4!L23,0)</f>
        <v>0.94277517364892904</v>
      </c>
      <c r="I27" s="138">
        <f>+IFERROR(Hoja4!M23,0)</f>
        <v>5.7224826351070859E-2</v>
      </c>
    </row>
    <row r="28" spans="1:11" x14ac:dyDescent="0.25">
      <c r="A28" s="74" t="str">
        <f>+Hoja4!B24</f>
        <v>E-00503</v>
      </c>
      <c r="B28" s="103" t="str">
        <f>+Hoja4!C24</f>
        <v>APORT P.FOND.CAP.LAB</v>
      </c>
      <c r="C28" s="100">
        <f>+SUMIF(Hoja4!$B$3:$B$164,$A28,Hoja4!$D$3:$D$164)</f>
        <v>2034892916.1700001</v>
      </c>
      <c r="D28" s="100">
        <f>+SUMIF(Hoja4!$B$3:$B$164,$A28,Hoja4!$E$3:$E$164)</f>
        <v>2034892916.1700001</v>
      </c>
      <c r="E28" s="100">
        <f>+SUMIF(Hoja4!$B$3:$B$164,$A28,Hoja4!$F$3:$F$164)</f>
        <v>0</v>
      </c>
      <c r="F28" s="100">
        <f>+SUMIF(Hoja4!$B$3:$B$164,$A28,Hoja4!$J$3:$J$164)</f>
        <v>1918451520.5</v>
      </c>
      <c r="G28" s="100">
        <f>+SUMIF(Hoja4!$B$3:$B$164,$A28,Hoja4!$K$3:$K$164)</f>
        <v>116441395.67</v>
      </c>
      <c r="H28" s="138">
        <f>+IFERROR(Hoja4!L24,0)</f>
        <v>0.94277762984739177</v>
      </c>
      <c r="I28" s="138">
        <f>+IFERROR(Hoja4!M24,0)</f>
        <v>5.7222370152608164E-2</v>
      </c>
    </row>
    <row r="29" spans="1:11" x14ac:dyDescent="0.25">
      <c r="A29" s="74" t="str">
        <f>+Hoja4!B25</f>
        <v>E-00505</v>
      </c>
      <c r="B29" s="103" t="str">
        <f>+Hoja4!C25</f>
        <v>CONT.PAT.A.F.A.EPRIV</v>
      </c>
      <c r="C29" s="100">
        <f>+SUMIF(Hoja4!$B$3:$B$164,$A29,Hoja4!$D$3:$D$164)</f>
        <v>110359000</v>
      </c>
      <c r="D29" s="100">
        <f>+SUMIF(Hoja4!$B$3:$B$164,$A29,Hoja4!$E$3:$E$164)</f>
        <v>110359000</v>
      </c>
      <c r="E29" s="100">
        <f>+SUMIF(Hoja4!$B$3:$B$164,$A29,Hoja4!$F$3:$F$164)</f>
        <v>0</v>
      </c>
      <c r="F29" s="100">
        <f>+SUMIF(Hoja4!$B$3:$B$164,$A29,Hoja4!$J$3:$J$164)</f>
        <v>93848712.230000004</v>
      </c>
      <c r="G29" s="100">
        <f>+SUMIF(Hoja4!$B$3:$B$164,$A29,Hoja4!$K$3:$K$164)</f>
        <v>16510287.77</v>
      </c>
      <c r="H29" s="138">
        <f>+IFERROR(Hoja4!L25,0)</f>
        <v>0.85039473201098237</v>
      </c>
      <c r="I29" s="138">
        <f>+IFERROR(Hoja4!M25,0)</f>
        <v>0.14960526798901766</v>
      </c>
    </row>
    <row r="30" spans="1:11" x14ac:dyDescent="0.25">
      <c r="A30" s="72" t="str">
        <f>+Hoja4!B26</f>
        <v>E-099</v>
      </c>
      <c r="B30" s="102" t="str">
        <f>+Hoja4!C26</f>
        <v>REMUNERACIONES DIVER</v>
      </c>
      <c r="C30" s="73">
        <f>+C31</f>
        <v>300000</v>
      </c>
      <c r="D30" s="73">
        <f t="shared" ref="D30:G30" si="6">+D31</f>
        <v>300000</v>
      </c>
      <c r="E30" s="73">
        <f t="shared" si="6"/>
        <v>0</v>
      </c>
      <c r="F30" s="73">
        <f t="shared" si="6"/>
        <v>300000</v>
      </c>
      <c r="G30" s="73">
        <f t="shared" si="6"/>
        <v>0</v>
      </c>
      <c r="H30" s="143">
        <f>+IFERROR(Hoja4!L26,0)</f>
        <v>1</v>
      </c>
      <c r="I30" s="143">
        <f>+IFERROR(Hoja4!M26,0)</f>
        <v>0</v>
      </c>
    </row>
    <row r="31" spans="1:11" x14ac:dyDescent="0.25">
      <c r="A31" s="74" t="str">
        <f>+Hoja4!B27</f>
        <v>E-09901</v>
      </c>
      <c r="B31" s="103" t="str">
        <f>+Hoja4!C27</f>
        <v>GASTOS REPRES.PERS.</v>
      </c>
      <c r="C31" s="100">
        <f>+SUMIF(Hoja4!$B$3:$B$164,$A31,Hoja4!$D$3:$D$164)</f>
        <v>300000</v>
      </c>
      <c r="D31" s="100">
        <f>+SUMIF(Hoja4!$B$3:$B$164,$A31,Hoja4!$E$3:$E$164)</f>
        <v>300000</v>
      </c>
      <c r="E31" s="100">
        <f>+SUMIF(Hoja4!$B$3:$B$164,$A31,Hoja4!$F$3:$F$164)</f>
        <v>0</v>
      </c>
      <c r="F31" s="100">
        <f>+SUMIF(Hoja4!$B$3:$B$164,$A31,Hoja4!$J$3:$J$164)</f>
        <v>300000</v>
      </c>
      <c r="G31" s="100">
        <f>+SUMIF(Hoja4!$B$3:$B$164,$A31,Hoja4!$K$3:$K$164)</f>
        <v>0</v>
      </c>
      <c r="H31" s="138">
        <f>+IFERROR(Hoja4!L27,0)</f>
        <v>1</v>
      </c>
      <c r="I31" s="138">
        <f>+IFERROR(Hoja4!M27,0)</f>
        <v>0</v>
      </c>
    </row>
    <row r="32" spans="1:11" x14ac:dyDescent="0.25">
      <c r="A32" s="151" t="str">
        <f>+Hoja4!B28</f>
        <v>E-1</v>
      </c>
      <c r="B32" s="152" t="str">
        <f>+Hoja4!C28</f>
        <v>SERVICIOS</v>
      </c>
      <c r="C32" s="155">
        <f>+C33+C39+C45+C52+C60+C65+C68+C72+C80+C82</f>
        <v>11993820926</v>
      </c>
      <c r="D32" s="155">
        <f t="shared" ref="D32:G32" si="7">+D33+D39+D45+D52+D60+D65+D68+D72+D80+D82</f>
        <v>11993820926</v>
      </c>
      <c r="E32" s="155">
        <f t="shared" si="7"/>
        <v>0</v>
      </c>
      <c r="F32" s="155">
        <f t="shared" si="7"/>
        <v>10888604170.42</v>
      </c>
      <c r="G32" s="155">
        <f t="shared" si="7"/>
        <v>1105216755.5800002</v>
      </c>
      <c r="H32" s="154">
        <f>+IFERROR(Hoja4!L28,0)</f>
        <v>0.90785115415687689</v>
      </c>
      <c r="I32" s="154">
        <f>+IFERROR(Hoja4!M28,0)</f>
        <v>9.2148845843123259E-2</v>
      </c>
      <c r="K32" s="25">
        <f>+C32-Estado!C62</f>
        <v>0</v>
      </c>
    </row>
    <row r="33" spans="1:11" x14ac:dyDescent="0.25">
      <c r="A33" s="72" t="str">
        <f>+Hoja4!B29</f>
        <v>E-101</v>
      </c>
      <c r="B33" s="102" t="str">
        <f>+Hoja4!C29</f>
        <v>ALQUILERES</v>
      </c>
      <c r="C33" s="73">
        <f>SUM(C34:C38)</f>
        <v>3151209001</v>
      </c>
      <c r="D33" s="73">
        <f t="shared" ref="D33:G33" si="8">SUM(D34:D38)</f>
        <v>3151209001</v>
      </c>
      <c r="E33" s="73">
        <f t="shared" si="8"/>
        <v>0</v>
      </c>
      <c r="F33" s="73">
        <f t="shared" si="8"/>
        <v>3048572236.9899998</v>
      </c>
      <c r="G33" s="73">
        <f t="shared" si="8"/>
        <v>102636764.00999999</v>
      </c>
      <c r="H33" s="143">
        <f>+IFERROR(Hoja4!L29,0)</f>
        <v>0.96742940123062948</v>
      </c>
      <c r="I33" s="143">
        <f>+IFERROR(Hoja4!M29,0)</f>
        <v>3.2570598769370553E-2</v>
      </c>
      <c r="K33" s="25">
        <f>+C33-Estado!C63</f>
        <v>0</v>
      </c>
    </row>
    <row r="34" spans="1:11" x14ac:dyDescent="0.25">
      <c r="A34" s="74" t="str">
        <f>+Hoja4!B30</f>
        <v>E-10101</v>
      </c>
      <c r="B34" s="103" t="str">
        <f>+Hoja4!C30</f>
        <v>ALQ EDIF, LOC.Y TERR</v>
      </c>
      <c r="C34" s="100">
        <f>+SUMIF(Hoja4!$B$3:$B$164,$A34,Hoja4!$D$3:$D$164)</f>
        <v>662067000</v>
      </c>
      <c r="D34" s="100">
        <f>+SUMIF(Hoja4!$B$3:$B$164,$A34,Hoja4!$E$3:$E$164)</f>
        <v>662067000</v>
      </c>
      <c r="E34" s="100">
        <f>+SUMIF(Hoja4!$B$3:$B$164,$A34,Hoja4!$F$3:$F$164)</f>
        <v>0</v>
      </c>
      <c r="F34" s="100">
        <f>+SUMIF(Hoja4!$B$3:$B$164,$A34,Hoja4!$J$3:$J$164)</f>
        <v>595895368.98000002</v>
      </c>
      <c r="G34" s="100">
        <f>+SUMIF(Hoja4!$B$3:$B$164,$A34,Hoja4!$K$3:$K$164)</f>
        <v>66171631.019999996</v>
      </c>
      <c r="H34" s="138">
        <f>+IFERROR(Hoja4!L30,0)</f>
        <v>0.90005296892912656</v>
      </c>
      <c r="I34" s="138">
        <f>+IFERROR(Hoja4!M30,0)</f>
        <v>9.9947031070873479E-2</v>
      </c>
    </row>
    <row r="35" spans="1:11" x14ac:dyDescent="0.25">
      <c r="A35" s="74" t="str">
        <f>+Hoja4!B31</f>
        <v>E-10102</v>
      </c>
      <c r="B35" s="103" t="str">
        <f>+Hoja4!C31</f>
        <v>ALQ DE MAQ, EQ Y MOB</v>
      </c>
      <c r="C35" s="100">
        <f>+SUMIF(Hoja4!$B$3:$B$164,$A35,Hoja4!$D$3:$D$164)</f>
        <v>9024000</v>
      </c>
      <c r="D35" s="100">
        <f>+SUMIF(Hoja4!$B$3:$B$164,$A35,Hoja4!$E$3:$E$164)</f>
        <v>9024000</v>
      </c>
      <c r="E35" s="100">
        <f>+SUMIF(Hoja4!$B$3:$B$164,$A35,Hoja4!$F$3:$F$164)</f>
        <v>0</v>
      </c>
      <c r="F35" s="100">
        <f>+SUMIF(Hoja4!$B$3:$B$164,$A35,Hoja4!$J$3:$J$164)</f>
        <v>3626284.12</v>
      </c>
      <c r="G35" s="100">
        <f>+SUMIF(Hoja4!$B$3:$B$164,$A35,Hoja4!$K$3:$K$164)</f>
        <v>5397715.8799999999</v>
      </c>
      <c r="H35" s="138">
        <f>+IFERROR(Hoja4!L31,0)</f>
        <v>0.40184886081560284</v>
      </c>
      <c r="I35" s="138">
        <f>+IFERROR(Hoja4!M31,0)</f>
        <v>0.59815113918439711</v>
      </c>
    </row>
    <row r="36" spans="1:11" x14ac:dyDescent="0.25">
      <c r="A36" s="74" t="str">
        <f>+Hoja4!B32</f>
        <v>E-10103</v>
      </c>
      <c r="B36" s="103" t="str">
        <f>+Hoja4!C32</f>
        <v>ALQ. EQ. DE COMPUTO</v>
      </c>
      <c r="C36" s="100">
        <f>+SUMIF(Hoja4!$B$3:$B$164,$A36,Hoja4!$D$3:$D$164)</f>
        <v>1016882950</v>
      </c>
      <c r="D36" s="100">
        <f>+SUMIF(Hoja4!$B$3:$B$164,$A36,Hoja4!$E$3:$E$164)</f>
        <v>1016882950</v>
      </c>
      <c r="E36" s="100">
        <f>+SUMIF(Hoja4!$B$3:$B$164,$A36,Hoja4!$F$3:$F$164)</f>
        <v>0</v>
      </c>
      <c r="F36" s="100">
        <f>+SUMIF(Hoja4!$B$3:$B$164,$A36,Hoja4!$J$3:$J$164)</f>
        <v>993443374.23000002</v>
      </c>
      <c r="G36" s="100">
        <f>+SUMIF(Hoja4!$B$3:$B$164,$A36,Hoja4!$K$3:$K$164)</f>
        <v>23439575.77</v>
      </c>
      <c r="H36" s="138">
        <f>+IFERROR(Hoja4!L32,0)</f>
        <v>0.97694958326324577</v>
      </c>
      <c r="I36" s="138">
        <f>+IFERROR(Hoja4!M32,0)</f>
        <v>2.3050416736754214E-2</v>
      </c>
    </row>
    <row r="37" spans="1:11" x14ac:dyDescent="0.25">
      <c r="A37" s="74" t="str">
        <f>+Hoja4!B33</f>
        <v>E-10104</v>
      </c>
      <c r="B37" s="103" t="str">
        <f>+Hoja4!C33</f>
        <v>ALQ Y DERECH P.TELEC</v>
      </c>
      <c r="C37" s="100">
        <f>+SUMIF(Hoja4!$B$3:$B$164,$A37,Hoja4!$D$3:$D$164)</f>
        <v>20800008</v>
      </c>
      <c r="D37" s="100">
        <f>+SUMIF(Hoja4!$B$3:$B$164,$A37,Hoja4!$E$3:$E$164)</f>
        <v>20800008</v>
      </c>
      <c r="E37" s="100">
        <f>+SUMIF(Hoja4!$B$3:$B$164,$A37,Hoja4!$F$3:$F$164)</f>
        <v>0</v>
      </c>
      <c r="F37" s="100">
        <f>+SUMIF(Hoja4!$B$3:$B$164,$A37,Hoja4!$J$3:$J$164)</f>
        <v>18762921.25</v>
      </c>
      <c r="G37" s="100">
        <f>+SUMIF(Hoja4!$B$3:$B$164,$A37,Hoja4!$K$3:$K$164)</f>
        <v>2037086.75</v>
      </c>
      <c r="H37" s="138">
        <f>+IFERROR(Hoja4!L33,0)</f>
        <v>0.90206317468724051</v>
      </c>
      <c r="I37" s="138">
        <f>+IFERROR(Hoja4!M33,0)</f>
        <v>9.793682531275949E-2</v>
      </c>
    </row>
    <row r="38" spans="1:11" x14ac:dyDescent="0.25">
      <c r="A38" s="74" t="str">
        <f>+Hoja4!B34</f>
        <v>E-10199</v>
      </c>
      <c r="B38" s="103" t="str">
        <f>+Hoja4!C34</f>
        <v>OTROS ALQUILERES</v>
      </c>
      <c r="C38" s="100">
        <f>+SUMIF(Hoja4!$B$3:$B$164,$A38,Hoja4!$D$3:$D$164)</f>
        <v>1442435043</v>
      </c>
      <c r="D38" s="100">
        <f>+SUMIF(Hoja4!$B$3:$B$164,$A38,Hoja4!$E$3:$E$164)</f>
        <v>1442435043</v>
      </c>
      <c r="E38" s="100">
        <f>+SUMIF(Hoja4!$B$3:$B$164,$A38,Hoja4!$F$3:$F$164)</f>
        <v>0</v>
      </c>
      <c r="F38" s="100">
        <f>+SUMIF(Hoja4!$B$3:$B$164,$A38,Hoja4!$J$3:$J$164)</f>
        <v>1436844288.4099998</v>
      </c>
      <c r="G38" s="100">
        <f>+SUMIF(Hoja4!$B$3:$B$164,$A38,Hoja4!$K$3:$K$164)</f>
        <v>5590754.5899999999</v>
      </c>
      <c r="H38" s="138">
        <f>+IFERROR(Hoja4!L34,0)</f>
        <v>0.9961240857138548</v>
      </c>
      <c r="I38" s="138">
        <f>+IFERROR(Hoja4!M34,0)</f>
        <v>3.8759142861450849E-3</v>
      </c>
    </row>
    <row r="39" spans="1:11" s="23" customFormat="1" x14ac:dyDescent="0.25">
      <c r="A39" s="72" t="str">
        <f>+Hoja4!B35</f>
        <v>E-102</v>
      </c>
      <c r="B39" s="102" t="str">
        <f>+Hoja4!C35</f>
        <v>SERVICIOS BÁSICOS</v>
      </c>
      <c r="C39" s="73">
        <f>SUM(C40:C44)</f>
        <v>5319751604</v>
      </c>
      <c r="D39" s="73">
        <f t="shared" ref="D39:G39" si="9">SUM(D40:D44)</f>
        <v>5319751604</v>
      </c>
      <c r="E39" s="73">
        <f t="shared" si="9"/>
        <v>0</v>
      </c>
      <c r="F39" s="73">
        <f t="shared" si="9"/>
        <v>4881257718.3999996</v>
      </c>
      <c r="G39" s="73">
        <f t="shared" si="9"/>
        <v>438493885.60000008</v>
      </c>
      <c r="H39" s="143">
        <f>+IFERROR(Hoja4!L35,0)</f>
        <v>0.9175724886721609</v>
      </c>
      <c r="I39" s="143">
        <f>+IFERROR(Hoja4!M35,0)</f>
        <v>8.2427511327839056E-2</v>
      </c>
      <c r="J39" s="128"/>
      <c r="K39" s="128">
        <f>+C39-Estado!C69</f>
        <v>0</v>
      </c>
    </row>
    <row r="40" spans="1:11" x14ac:dyDescent="0.25">
      <c r="A40" s="74" t="str">
        <f>+Hoja4!B36</f>
        <v>E-10201</v>
      </c>
      <c r="B40" s="103" t="str">
        <f>+Hoja4!C36</f>
        <v>SERV.AGUA Y ALCANT.</v>
      </c>
      <c r="C40" s="100">
        <f>+SUMIF(Hoja4!$B$3:$B$164,$A40,Hoja4!$D$3:$D$164)</f>
        <v>3109838604</v>
      </c>
      <c r="D40" s="100">
        <f>+SUMIF(Hoja4!$B$3:$B$164,$A40,Hoja4!$E$3:$E$164)</f>
        <v>3109838604</v>
      </c>
      <c r="E40" s="100">
        <f>+SUMIF(Hoja4!$B$3:$B$164,$A40,Hoja4!$F$3:$F$164)</f>
        <v>0</v>
      </c>
      <c r="F40" s="100">
        <f>+SUMIF(Hoja4!$B$3:$B$164,$A40,Hoja4!$J$3:$J$164)</f>
        <v>2804802448.8299999</v>
      </c>
      <c r="G40" s="100">
        <f>+SUMIF(Hoja4!$B$3:$B$164,$A40,Hoja4!$K$3:$K$164)</f>
        <v>305036155.17000002</v>
      </c>
      <c r="H40" s="138">
        <f>+IFERROR(Hoja4!L36,0)</f>
        <v>0.9019125446646491</v>
      </c>
      <c r="I40" s="138">
        <f>+IFERROR(Hoja4!M36,0)</f>
        <v>9.8087455335350904E-2</v>
      </c>
    </row>
    <row r="41" spans="1:11" x14ac:dyDescent="0.25">
      <c r="A41" s="74" t="str">
        <f>+Hoja4!B37</f>
        <v>E-10202</v>
      </c>
      <c r="B41" s="103" t="str">
        <f>+Hoja4!C37</f>
        <v>SERV ENERGÍA ELÉCT</v>
      </c>
      <c r="C41" s="100">
        <f>+SUMIF(Hoja4!$B$3:$B$164,$A41,Hoja4!$D$3:$D$164)</f>
        <v>1345859000</v>
      </c>
      <c r="D41" s="100">
        <f>+SUMIF(Hoja4!$B$3:$B$164,$A41,Hoja4!$E$3:$E$164)</f>
        <v>1345859000</v>
      </c>
      <c r="E41" s="100">
        <f>+SUMIF(Hoja4!$B$3:$B$164,$A41,Hoja4!$F$3:$F$164)</f>
        <v>0</v>
      </c>
      <c r="F41" s="100">
        <f>+SUMIF(Hoja4!$B$3:$B$164,$A41,Hoja4!$J$3:$J$164)</f>
        <v>1288388610.77</v>
      </c>
      <c r="G41" s="100">
        <f>+SUMIF(Hoja4!$B$3:$B$164,$A41,Hoja4!$K$3:$K$164)</f>
        <v>57470389.229999997</v>
      </c>
      <c r="H41" s="138">
        <f>+IFERROR(Hoja4!L37,0)</f>
        <v>0.95729835797806451</v>
      </c>
      <c r="I41" s="138">
        <f>+IFERROR(Hoja4!M37,0)</f>
        <v>4.2701642021935431E-2</v>
      </c>
    </row>
    <row r="42" spans="1:11" x14ac:dyDescent="0.25">
      <c r="A42" s="74" t="str">
        <f>+Hoja4!B38</f>
        <v>E-10203</v>
      </c>
      <c r="B42" s="103" t="str">
        <f>+Hoja4!C38</f>
        <v>SERVICIO DE CORREO</v>
      </c>
      <c r="C42" s="100">
        <f>+SUMIF(Hoja4!$B$3:$B$164,$A42,Hoja4!$D$3:$D$164)</f>
        <v>21314000</v>
      </c>
      <c r="D42" s="100">
        <f>+SUMIF(Hoja4!$B$3:$B$164,$A42,Hoja4!$E$3:$E$164)</f>
        <v>21314000</v>
      </c>
      <c r="E42" s="100">
        <f>+SUMIF(Hoja4!$B$3:$B$164,$A42,Hoja4!$F$3:$F$164)</f>
        <v>0</v>
      </c>
      <c r="F42" s="100">
        <f>+SUMIF(Hoja4!$B$3:$B$164,$A42,Hoja4!$J$3:$J$164)</f>
        <v>14436185</v>
      </c>
      <c r="G42" s="100">
        <f>+SUMIF(Hoja4!$B$3:$B$164,$A42,Hoja4!$K$3:$K$164)</f>
        <v>6877815</v>
      </c>
      <c r="H42" s="138">
        <f>+IFERROR(Hoja4!L38,0)</f>
        <v>0.67730998404804355</v>
      </c>
      <c r="I42" s="138">
        <f>+IFERROR(Hoja4!M38,0)</f>
        <v>0.32269001595195645</v>
      </c>
    </row>
    <row r="43" spans="1:11" x14ac:dyDescent="0.25">
      <c r="A43" s="74" t="str">
        <f>+Hoja4!B39</f>
        <v>E-10204</v>
      </c>
      <c r="B43" s="103" t="str">
        <f>+Hoja4!C39</f>
        <v>SERV.TELECOMUNIC.</v>
      </c>
      <c r="C43" s="100">
        <f>+SUMIF(Hoja4!$B$3:$B$164,$A43,Hoja4!$D$3:$D$164)</f>
        <v>651366000</v>
      </c>
      <c r="D43" s="100">
        <f>+SUMIF(Hoja4!$B$3:$B$164,$A43,Hoja4!$E$3:$E$164)</f>
        <v>651366000</v>
      </c>
      <c r="E43" s="100">
        <f>+SUMIF(Hoja4!$B$3:$B$164,$A43,Hoja4!$F$3:$F$164)</f>
        <v>0</v>
      </c>
      <c r="F43" s="100">
        <f>+SUMIF(Hoja4!$B$3:$B$164,$A43,Hoja4!$J$3:$J$164)</f>
        <v>642393869.39999998</v>
      </c>
      <c r="G43" s="100">
        <f>+SUMIF(Hoja4!$B$3:$B$164,$A43,Hoja4!$K$3:$K$164)</f>
        <v>8972130.5999999996</v>
      </c>
      <c r="H43" s="138">
        <f>+IFERROR(Hoja4!L39,0)</f>
        <v>0.98622566943930134</v>
      </c>
      <c r="I43" s="138">
        <f>+IFERROR(Hoja4!M39,0)</f>
        <v>1.3774330560698593E-2</v>
      </c>
    </row>
    <row r="44" spans="1:11" x14ac:dyDescent="0.25">
      <c r="A44" s="74" t="str">
        <f>+Hoja4!B40</f>
        <v>E-10299</v>
      </c>
      <c r="B44" s="103" t="str">
        <f>+Hoja4!C40</f>
        <v>OTROS SERV.BÁSICOS</v>
      </c>
      <c r="C44" s="100">
        <f>+SUMIF(Hoja4!$B$3:$B$164,$A44,Hoja4!$D$3:$D$164)</f>
        <v>191374000</v>
      </c>
      <c r="D44" s="100">
        <f>+SUMIF(Hoja4!$B$3:$B$164,$A44,Hoja4!$E$3:$E$164)</f>
        <v>191374000</v>
      </c>
      <c r="E44" s="100">
        <f>+SUMIF(Hoja4!$B$3:$B$164,$A44,Hoja4!$F$3:$F$164)</f>
        <v>0</v>
      </c>
      <c r="F44" s="100">
        <f>+SUMIF(Hoja4!$B$3:$B$164,$A44,Hoja4!$J$3:$J$164)</f>
        <v>131236604.40000001</v>
      </c>
      <c r="G44" s="100">
        <f>+SUMIF(Hoja4!$B$3:$B$164,$A44,Hoja4!$K$3:$K$164)</f>
        <v>60137395.600000001</v>
      </c>
      <c r="H44" s="138">
        <f>+IFERROR(Hoja4!L40,0)</f>
        <v>0.68575984407495272</v>
      </c>
      <c r="I44" s="138">
        <f>+IFERROR(Hoja4!M40,0)</f>
        <v>0.31424015592504728</v>
      </c>
    </row>
    <row r="45" spans="1:11" s="23" customFormat="1" x14ac:dyDescent="0.25">
      <c r="A45" s="72" t="str">
        <f>+Hoja4!B41</f>
        <v>E-103</v>
      </c>
      <c r="B45" s="102" t="str">
        <f>+Hoja4!C41</f>
        <v>SERV COMERC Y FINANC</v>
      </c>
      <c r="C45" s="73">
        <f>SUM(C46:C51)</f>
        <v>37423675</v>
      </c>
      <c r="D45" s="73">
        <f t="shared" ref="D45:G45" si="10">SUM(D46:D51)</f>
        <v>37423675</v>
      </c>
      <c r="E45" s="73">
        <f t="shared" si="10"/>
        <v>0</v>
      </c>
      <c r="F45" s="73">
        <f t="shared" si="10"/>
        <v>27555324.009999998</v>
      </c>
      <c r="G45" s="73">
        <f t="shared" si="10"/>
        <v>9868350.9900000002</v>
      </c>
      <c r="H45" s="143">
        <f>+IFERROR(Hoja4!L41,0)</f>
        <v>0.73630727099890636</v>
      </c>
      <c r="I45" s="143">
        <f>+IFERROR(Hoja4!M41,0)</f>
        <v>0.26369272900109358</v>
      </c>
      <c r="J45" s="128"/>
      <c r="K45" s="128">
        <f>+C45-Estado!C75</f>
        <v>0</v>
      </c>
    </row>
    <row r="46" spans="1:11" x14ac:dyDescent="0.25">
      <c r="A46" s="74" t="str">
        <f>+Hoja4!B42</f>
        <v>E-10301</v>
      </c>
      <c r="B46" s="103" t="str">
        <f>+Hoja4!C42</f>
        <v>INFORMACIÓN</v>
      </c>
      <c r="C46" s="100">
        <f>+SUMIF(Hoja4!$B$3:$B$164,$A46,Hoja4!$D$3:$D$164)</f>
        <v>11100300</v>
      </c>
      <c r="D46" s="100">
        <f>+SUMIF(Hoja4!$B$3:$B$164,$A46,Hoja4!$E$3:$E$164)</f>
        <v>11100300</v>
      </c>
      <c r="E46" s="100">
        <f>+SUMIF(Hoja4!$B$3:$B$164,$A46,Hoja4!$F$3:$F$164)</f>
        <v>0</v>
      </c>
      <c r="F46" s="100">
        <f>+SUMIF(Hoja4!$B$3:$B$164,$A46,Hoja4!$J$3:$J$164)</f>
        <v>9218039</v>
      </c>
      <c r="G46" s="100">
        <f>+SUMIF(Hoja4!$B$3:$B$164,$A46,Hoja4!$K$3:$K$164)</f>
        <v>1882261</v>
      </c>
      <c r="H46" s="138">
        <f>+IFERROR(Hoja4!L42,0)</f>
        <v>0.83043151986883235</v>
      </c>
      <c r="I46" s="138">
        <f>+IFERROR(Hoja4!M42,0)</f>
        <v>0.16956848013116763</v>
      </c>
    </row>
    <row r="47" spans="1:11" x14ac:dyDescent="0.25">
      <c r="A47" s="74" t="str">
        <f>+Hoja4!B43</f>
        <v>E-10302</v>
      </c>
      <c r="B47" s="103" t="str">
        <f>+Hoja4!C43</f>
        <v>PUBLICIDAD Y PROPAG.</v>
      </c>
      <c r="C47" s="100">
        <f>+SUMIF(Hoja4!$B$3:$B$164,$A47,Hoja4!$D$3:$D$164)</f>
        <v>532875</v>
      </c>
      <c r="D47" s="100">
        <f>+SUMIF(Hoja4!$B$3:$B$164,$A47,Hoja4!$E$3:$E$164)</f>
        <v>532875</v>
      </c>
      <c r="E47" s="100">
        <f>+SUMIF(Hoja4!$B$3:$B$164,$A47,Hoja4!$F$3:$F$164)</f>
        <v>0</v>
      </c>
      <c r="F47" s="100">
        <f>+SUMIF(Hoja4!$B$3:$B$164,$A47,Hoja4!$J$3:$J$164)</f>
        <v>374000</v>
      </c>
      <c r="G47" s="100">
        <f>+SUMIF(Hoja4!$B$3:$B$164,$A47,Hoja4!$K$3:$K$164)</f>
        <v>158875</v>
      </c>
      <c r="H47" s="138">
        <f>+IFERROR(Hoja4!L43,0)</f>
        <v>0.70185315505512547</v>
      </c>
      <c r="I47" s="138">
        <f>+IFERROR(Hoja4!M43,0)</f>
        <v>0.29814684494487448</v>
      </c>
    </row>
    <row r="48" spans="1:11" x14ac:dyDescent="0.25">
      <c r="A48" s="74" t="str">
        <f>+Hoja4!B44</f>
        <v>E-10303</v>
      </c>
      <c r="B48" s="103" t="str">
        <f>+Hoja4!C44</f>
        <v>IMP., ENCUAD Y OTROS</v>
      </c>
      <c r="C48" s="100">
        <f>+SUMIF(Hoja4!$B$3:$B$164,$A48,Hoja4!$D$3:$D$164)</f>
        <v>15539000</v>
      </c>
      <c r="D48" s="100">
        <f>+SUMIF(Hoja4!$B$3:$B$164,$A48,Hoja4!$E$3:$E$164)</f>
        <v>15539000</v>
      </c>
      <c r="E48" s="100">
        <f>+SUMIF(Hoja4!$B$3:$B$164,$A48,Hoja4!$F$3:$F$164)</f>
        <v>0</v>
      </c>
      <c r="F48" s="100">
        <f>+SUMIF(Hoja4!$B$3:$B$164,$A48,Hoja4!$J$3:$J$164)</f>
        <v>9100543</v>
      </c>
      <c r="G48" s="100">
        <f>+SUMIF(Hoja4!$B$3:$B$164,$A48,Hoja4!$K$3:$K$164)</f>
        <v>6438457</v>
      </c>
      <c r="H48" s="138">
        <f>+IFERROR(Hoja4!L44,0)</f>
        <v>0.58565821481433811</v>
      </c>
      <c r="I48" s="138">
        <f>+IFERROR(Hoja4!M44,0)</f>
        <v>0.41434178518566189</v>
      </c>
    </row>
    <row r="49" spans="1:11" x14ac:dyDescent="0.25">
      <c r="A49" s="74" t="str">
        <f>+Hoja4!B45</f>
        <v>E-10304</v>
      </c>
      <c r="B49" s="103" t="str">
        <f>+Hoja4!C45</f>
        <v>TRANSPORTE DE BIENES</v>
      </c>
      <c r="C49" s="100">
        <f>+SUMIF(Hoja4!$B$3:$B$164,$A49,Hoja4!$D$3:$D$164)</f>
        <v>550000</v>
      </c>
      <c r="D49" s="100">
        <f>+SUMIF(Hoja4!$B$3:$B$164,$A49,Hoja4!$E$3:$E$164)</f>
        <v>550000</v>
      </c>
      <c r="E49" s="100">
        <f>+SUMIF(Hoja4!$B$3:$B$164,$A49,Hoja4!$F$3:$F$164)</f>
        <v>0</v>
      </c>
      <c r="F49" s="100">
        <f>+SUMIF(Hoja4!$B$3:$B$164,$A49,Hoja4!$J$3:$J$164)</f>
        <v>0</v>
      </c>
      <c r="G49" s="100">
        <f>+SUMIF(Hoja4!$B$3:$B$164,$A49,Hoja4!$K$3:$K$164)</f>
        <v>550000</v>
      </c>
      <c r="H49" s="138">
        <f>+IFERROR(Hoja4!L45,0)</f>
        <v>0</v>
      </c>
      <c r="I49" s="138">
        <f>+IFERROR(Hoja4!M45,0)</f>
        <v>1</v>
      </c>
    </row>
    <row r="50" spans="1:11" x14ac:dyDescent="0.25">
      <c r="A50" s="74" t="str">
        <f>+Hoja4!B46</f>
        <v>E-10306</v>
      </c>
      <c r="B50" s="103" t="str">
        <f>+Hoja4!C46</f>
        <v>COM G.P.S.FIN Y COM.</v>
      </c>
      <c r="C50" s="100">
        <f>+SUMIF(Hoja4!$B$3:$B$164,$A50,Hoja4!$D$3:$D$164)</f>
        <v>200000</v>
      </c>
      <c r="D50" s="100">
        <f>+SUMIF(Hoja4!$B$3:$B$164,$A50,Hoja4!$E$3:$E$164)</f>
        <v>200000</v>
      </c>
      <c r="E50" s="100">
        <f>+SUMIF(Hoja4!$B$3:$B$164,$A50,Hoja4!$F$3:$F$164)</f>
        <v>0</v>
      </c>
      <c r="F50" s="100">
        <f>+SUMIF(Hoja4!$B$3:$B$164,$A50,Hoja4!$J$3:$J$164)</f>
        <v>50966</v>
      </c>
      <c r="G50" s="100">
        <f>+SUMIF(Hoja4!$B$3:$B$164,$A50,Hoja4!$K$3:$K$164)</f>
        <v>149034</v>
      </c>
      <c r="H50" s="138">
        <f>+IFERROR(Hoja4!L46,0)</f>
        <v>0.25483</v>
      </c>
      <c r="I50" s="138">
        <f>+IFERROR(Hoja4!M46,0)</f>
        <v>0.74517</v>
      </c>
    </row>
    <row r="51" spans="1:11" x14ac:dyDescent="0.25">
      <c r="A51" s="74" t="str">
        <f>+Hoja4!B47</f>
        <v>E-10307</v>
      </c>
      <c r="B51" s="103" t="str">
        <f>+Hoja4!C47</f>
        <v>SERV TRANSF.ELEC.INF</v>
      </c>
      <c r="C51" s="100">
        <f>+SUMIF(Hoja4!$B$3:$B$164,$A51,Hoja4!$D$3:$D$164)</f>
        <v>9501500</v>
      </c>
      <c r="D51" s="100">
        <f>+SUMIF(Hoja4!$B$3:$B$164,$A51,Hoja4!$E$3:$E$164)</f>
        <v>9501500</v>
      </c>
      <c r="E51" s="100">
        <f>+SUMIF(Hoja4!$B$3:$B$164,$A51,Hoja4!$F$3:$F$164)</f>
        <v>0</v>
      </c>
      <c r="F51" s="100">
        <f>+SUMIF(Hoja4!$B$3:$B$164,$A51,Hoja4!$J$3:$J$164)</f>
        <v>8811776.0099999998</v>
      </c>
      <c r="G51" s="100">
        <f>+SUMIF(Hoja4!$B$3:$B$164,$A51,Hoja4!$K$3:$K$164)</f>
        <v>689723.99</v>
      </c>
      <c r="H51" s="138">
        <f>+IFERROR(Hoja4!L47,0)</f>
        <v>0.92740893648371303</v>
      </c>
      <c r="I51" s="138">
        <f>+IFERROR(Hoja4!M47,0)</f>
        <v>7.2591063516286899E-2</v>
      </c>
    </row>
    <row r="52" spans="1:11" s="23" customFormat="1" x14ac:dyDescent="0.25">
      <c r="A52" s="72" t="str">
        <f>+Hoja4!B48</f>
        <v>E-104</v>
      </c>
      <c r="B52" s="102" t="str">
        <f>+Hoja4!C48</f>
        <v>SERV DE GEST Y APOYO</v>
      </c>
      <c r="C52" s="73">
        <f>SUM(C53:C59)</f>
        <v>675636277</v>
      </c>
      <c r="D52" s="73">
        <f t="shared" ref="D52:G52" si="11">SUM(D53:D59)</f>
        <v>675636277</v>
      </c>
      <c r="E52" s="73">
        <f t="shared" si="11"/>
        <v>0</v>
      </c>
      <c r="F52" s="73">
        <f t="shared" si="11"/>
        <v>599286858.99000001</v>
      </c>
      <c r="G52" s="73">
        <f t="shared" si="11"/>
        <v>76349418.010000005</v>
      </c>
      <c r="H52" s="143">
        <f>+IFERROR(Hoja4!L48,0)</f>
        <v>0.88699627209330567</v>
      </c>
      <c r="I52" s="143">
        <f>+IFERROR(Hoja4!M48,0)</f>
        <v>0.1130037279066944</v>
      </c>
      <c r="J52" s="128"/>
      <c r="K52" s="128">
        <f>+C52-Estado!C82</f>
        <v>0</v>
      </c>
    </row>
    <row r="53" spans="1:11" x14ac:dyDescent="0.25">
      <c r="A53" s="74" t="str">
        <f>+Hoja4!B49</f>
        <v>E-10401</v>
      </c>
      <c r="B53" s="103" t="str">
        <f>+Hoja4!C49</f>
        <v>SERV.MEDICOS YDE LAB</v>
      </c>
      <c r="C53" s="100">
        <f>+SUMIF(Hoja4!$B$3:$B$164,$A53,Hoja4!$D$3:$D$164)</f>
        <v>24045000</v>
      </c>
      <c r="D53" s="100">
        <f>+SUMIF(Hoja4!$B$3:$B$164,$A53,Hoja4!$E$3:$E$164)</f>
        <v>24045000</v>
      </c>
      <c r="E53" s="100">
        <f>+SUMIF(Hoja4!$B$3:$B$164,$A53,Hoja4!$F$3:$F$164)</f>
        <v>0</v>
      </c>
      <c r="F53" s="100">
        <f>+SUMIF(Hoja4!$B$3:$B$164,$A53,Hoja4!$J$3:$J$164)</f>
        <v>23468616</v>
      </c>
      <c r="G53" s="100">
        <f>+SUMIF(Hoja4!$B$3:$B$164,$A53,Hoja4!$K$3:$K$164)</f>
        <v>576384</v>
      </c>
      <c r="H53" s="138">
        <f>+IFERROR(Hoja4!L49,0)</f>
        <v>0.97602894572676235</v>
      </c>
      <c r="I53" s="138">
        <f>+IFERROR(Hoja4!M49,0)</f>
        <v>2.3971054273237681E-2</v>
      </c>
    </row>
    <row r="54" spans="1:11" x14ac:dyDescent="0.25">
      <c r="A54" s="74" t="str">
        <f>+Hoja4!B50</f>
        <v>E-10402</v>
      </c>
      <c r="B54" s="103" t="str">
        <f>+Hoja4!C50</f>
        <v>SERVICIOS JURÍDICOS</v>
      </c>
      <c r="C54" s="100">
        <f>+SUMIF(Hoja4!$B$3:$B$164,$A54,Hoja4!$D$3:$D$164)</f>
        <v>2000000</v>
      </c>
      <c r="D54" s="100">
        <f>+SUMIF(Hoja4!$B$3:$B$164,$A54,Hoja4!$E$3:$E$164)</f>
        <v>2000000</v>
      </c>
      <c r="E54" s="100">
        <f>+SUMIF(Hoja4!$B$3:$B$164,$A54,Hoja4!$F$3:$F$164)</f>
        <v>0</v>
      </c>
      <c r="F54" s="100">
        <f>+SUMIF(Hoja4!$B$3:$B$164,$A54,Hoja4!$J$3:$J$164)</f>
        <v>9300</v>
      </c>
      <c r="G54" s="100">
        <f>+SUMIF(Hoja4!$B$3:$B$164,$A54,Hoja4!$K$3:$K$164)</f>
        <v>1990700</v>
      </c>
      <c r="H54" s="138">
        <f>+IFERROR(Hoja4!L50,0)</f>
        <v>4.6499999999999996E-3</v>
      </c>
      <c r="I54" s="138">
        <f>+IFERROR(Hoja4!M50,0)</f>
        <v>0.99534999999999996</v>
      </c>
    </row>
    <row r="55" spans="1:11" x14ac:dyDescent="0.25">
      <c r="A55" s="74" t="str">
        <f>+Hoja4!B51</f>
        <v>E-10403</v>
      </c>
      <c r="B55" s="103" t="str">
        <f>+Hoja4!C51</f>
        <v>SERV. DE INGENIERÍA</v>
      </c>
      <c r="C55" s="100">
        <f>+SUMIF(Hoja4!$B$3:$B$164,$A55,Hoja4!$D$3:$D$164)</f>
        <v>92680000</v>
      </c>
      <c r="D55" s="100">
        <f>+SUMIF(Hoja4!$B$3:$B$164,$A55,Hoja4!$E$3:$E$164)</f>
        <v>92680000</v>
      </c>
      <c r="E55" s="100">
        <f>+SUMIF(Hoja4!$B$3:$B$164,$A55,Hoja4!$F$3:$F$164)</f>
        <v>0</v>
      </c>
      <c r="F55" s="100">
        <f>+SUMIF(Hoja4!$B$3:$B$164,$A55,Hoja4!$J$3:$J$164)</f>
        <v>92645740.909999996</v>
      </c>
      <c r="G55" s="100">
        <f>+SUMIF(Hoja4!$B$3:$B$164,$A55,Hoja4!$K$3:$K$164)</f>
        <v>34259.089999999997</v>
      </c>
      <c r="H55" s="138">
        <f>+IFERROR(Hoja4!L51,0)</f>
        <v>0.99963035077686657</v>
      </c>
      <c r="I55" s="138">
        <f>+IFERROR(Hoja4!M51,0)</f>
        <v>3.6964922313336205E-4</v>
      </c>
    </row>
    <row r="56" spans="1:11" x14ac:dyDescent="0.25">
      <c r="A56" s="74" t="str">
        <f>+Hoja4!B52</f>
        <v>E-10404</v>
      </c>
      <c r="B56" s="103" t="str">
        <f>+Hoja4!C52</f>
        <v>SERV.CIEN.ECON.Y SOC</v>
      </c>
      <c r="C56" s="100">
        <f>+SUMIF(Hoja4!$B$3:$B$164,$A56,Hoja4!$D$3:$D$164)</f>
        <v>0</v>
      </c>
      <c r="D56" s="100">
        <f>+SUMIF(Hoja4!$B$3:$B$164,$A56,Hoja4!$E$3:$E$164)</f>
        <v>0</v>
      </c>
      <c r="E56" s="100">
        <f>+SUMIF(Hoja4!$B$3:$B$164,$A56,Hoja4!$F$3:$F$164)</f>
        <v>0</v>
      </c>
      <c r="F56" s="100">
        <f>+SUMIF(Hoja4!$B$3:$B$164,$A56,Hoja4!$J$3:$J$164)</f>
        <v>0</v>
      </c>
      <c r="G56" s="100">
        <f>+SUMIF(Hoja4!$B$3:$B$164,$A56,Hoja4!$K$3:$K$164)</f>
        <v>0</v>
      </c>
      <c r="H56" s="138">
        <f>+IFERROR(Hoja4!L52,0)</f>
        <v>0</v>
      </c>
      <c r="I56" s="138">
        <f>+IFERROR(Hoja4!M52,0)</f>
        <v>0</v>
      </c>
    </row>
    <row r="57" spans="1:11" x14ac:dyDescent="0.25">
      <c r="A57" s="74" t="str">
        <f>+Hoja4!B53</f>
        <v>E-10405</v>
      </c>
      <c r="B57" s="103" t="str">
        <f>+Hoja4!C53</f>
        <v>SERV.DES.SIST.INFORM</v>
      </c>
      <c r="C57" s="100">
        <f>+SUMIF(Hoja4!$B$3:$B$164,$A57,Hoja4!$D$3:$D$164)</f>
        <v>30747000</v>
      </c>
      <c r="D57" s="100">
        <f>+SUMIF(Hoja4!$B$3:$B$164,$A57,Hoja4!$E$3:$E$164)</f>
        <v>30747000</v>
      </c>
      <c r="E57" s="100">
        <f>+SUMIF(Hoja4!$B$3:$B$164,$A57,Hoja4!$F$3:$F$164)</f>
        <v>0</v>
      </c>
      <c r="F57" s="100">
        <f>+SUMIF(Hoja4!$B$3:$B$164,$A57,Hoja4!$J$3:$J$164)</f>
        <v>28825282.969999999</v>
      </c>
      <c r="G57" s="100">
        <f>+SUMIF(Hoja4!$B$3:$B$164,$A57,Hoja4!$K$3:$K$164)</f>
        <v>1921717.03</v>
      </c>
      <c r="H57" s="138">
        <f>+IFERROR(Hoja4!L53,0)</f>
        <v>0.93749903958109726</v>
      </c>
      <c r="I57" s="138">
        <f>+IFERROR(Hoja4!M53,0)</f>
        <v>6.2500960418902657E-2</v>
      </c>
    </row>
    <row r="58" spans="1:11" x14ac:dyDescent="0.25">
      <c r="A58" s="74" t="str">
        <f>+Hoja4!B54</f>
        <v>E-10406</v>
      </c>
      <c r="B58" s="103" t="str">
        <f>+Hoja4!C54</f>
        <v>SERVICIOS GENERALES</v>
      </c>
      <c r="C58" s="100">
        <f>+SUMIF(Hoja4!$B$3:$B$164,$A58,Hoja4!$D$3:$D$164)</f>
        <v>435241165</v>
      </c>
      <c r="D58" s="100">
        <f>+SUMIF(Hoja4!$B$3:$B$164,$A58,Hoja4!$E$3:$E$164)</f>
        <v>435241165</v>
      </c>
      <c r="E58" s="100">
        <f>+SUMIF(Hoja4!$B$3:$B$164,$A58,Hoja4!$F$3:$F$164)</f>
        <v>0</v>
      </c>
      <c r="F58" s="100">
        <f>+SUMIF(Hoja4!$B$3:$B$164,$A58,Hoja4!$J$3:$J$164)</f>
        <v>416971162.96000004</v>
      </c>
      <c r="G58" s="100">
        <f>+SUMIF(Hoja4!$B$3:$B$164,$A58,Hoja4!$K$3:$K$164)</f>
        <v>18270002.039999999</v>
      </c>
      <c r="H58" s="138">
        <f>+IFERROR(Hoja4!L54,0)</f>
        <v>0.95802326730744791</v>
      </c>
      <c r="I58" s="138">
        <f>+IFERROR(Hoja4!M54,0)</f>
        <v>4.1976732692552185E-2</v>
      </c>
    </row>
    <row r="59" spans="1:11" x14ac:dyDescent="0.25">
      <c r="A59" s="74" t="str">
        <f>+Hoja4!B55</f>
        <v>E-10499</v>
      </c>
      <c r="B59" s="103" t="str">
        <f>+Hoja4!C55</f>
        <v>OTROS SERV.GEST.APOY</v>
      </c>
      <c r="C59" s="100">
        <f>+SUMIF(Hoja4!$B$3:$B$164,$A59,Hoja4!$D$3:$D$164)</f>
        <v>90923112</v>
      </c>
      <c r="D59" s="100">
        <f>+SUMIF(Hoja4!$B$3:$B$164,$A59,Hoja4!$E$3:$E$164)</f>
        <v>90923112</v>
      </c>
      <c r="E59" s="100">
        <f>+SUMIF(Hoja4!$B$3:$B$164,$A59,Hoja4!$F$3:$F$164)</f>
        <v>0</v>
      </c>
      <c r="F59" s="100">
        <f>+SUMIF(Hoja4!$B$3:$B$164,$A59,Hoja4!$J$3:$J$164)</f>
        <v>37366756.149999999</v>
      </c>
      <c r="G59" s="100">
        <f>+SUMIF(Hoja4!$B$3:$B$164,$A59,Hoja4!$K$3:$K$164)</f>
        <v>53556355.850000001</v>
      </c>
      <c r="H59" s="138">
        <f>+IFERROR(Hoja4!L55,0)</f>
        <v>0.41097093278109531</v>
      </c>
      <c r="I59" s="138">
        <f>+IFERROR(Hoja4!M55,0)</f>
        <v>0.58902906721890469</v>
      </c>
    </row>
    <row r="60" spans="1:11" s="23" customFormat="1" x14ac:dyDescent="0.25">
      <c r="A60" s="72" t="str">
        <f>+Hoja4!B56</f>
        <v>E-105</v>
      </c>
      <c r="B60" s="102" t="str">
        <f>+Hoja4!C56</f>
        <v>GAST. VIAJE Y TRANSP</v>
      </c>
      <c r="C60" s="73">
        <f>SUM(C61:C64)</f>
        <v>244402500</v>
      </c>
      <c r="D60" s="73">
        <f t="shared" ref="D60:G60" si="12">SUM(D61:D64)</f>
        <v>244402500</v>
      </c>
      <c r="E60" s="73">
        <f t="shared" si="12"/>
        <v>0</v>
      </c>
      <c r="F60" s="73">
        <f t="shared" si="12"/>
        <v>217864334.58000001</v>
      </c>
      <c r="G60" s="73">
        <f t="shared" si="12"/>
        <v>26538165.419999998</v>
      </c>
      <c r="H60" s="143">
        <f>+IFERROR(Hoja4!L56,0)</f>
        <v>0.89141614582502215</v>
      </c>
      <c r="I60" s="143">
        <f>+IFERROR(Hoja4!M56,0)</f>
        <v>0.10858385417497776</v>
      </c>
      <c r="J60" s="128"/>
      <c r="K60" s="128">
        <f>+C60-Estado!C90</f>
        <v>0</v>
      </c>
    </row>
    <row r="61" spans="1:11" x14ac:dyDescent="0.25">
      <c r="A61" s="74" t="str">
        <f>+Hoja4!B57</f>
        <v>E-10501</v>
      </c>
      <c r="B61" s="103" t="str">
        <f>+Hoja4!C57</f>
        <v>TRANSP.DENT.DEL PAÍS</v>
      </c>
      <c r="C61" s="100">
        <f>+SUMIF(Hoja4!$B$3:$B$164,$A61,Hoja4!$D$3:$D$164)</f>
        <v>9214000</v>
      </c>
      <c r="D61" s="100">
        <f>+SUMIF(Hoja4!$B$3:$B$164,$A61,Hoja4!$E$3:$E$164)</f>
        <v>9214000</v>
      </c>
      <c r="E61" s="100">
        <f>+SUMIF(Hoja4!$B$3:$B$164,$A61,Hoja4!$F$3:$F$164)</f>
        <v>0</v>
      </c>
      <c r="F61" s="100">
        <f>+SUMIF(Hoja4!$B$3:$B$164,$A61,Hoja4!$J$3:$J$164)</f>
        <v>9079080</v>
      </c>
      <c r="G61" s="100">
        <f>+SUMIF(Hoja4!$B$3:$B$164,$A61,Hoja4!$K$3:$K$164)</f>
        <v>134920</v>
      </c>
      <c r="H61" s="138">
        <f>+IFERROR(Hoja4!L57,0)</f>
        <v>0.98535706533535927</v>
      </c>
      <c r="I61" s="138">
        <f>+IFERROR(Hoja4!M57,0)</f>
        <v>1.4642934664640764E-2</v>
      </c>
    </row>
    <row r="62" spans="1:11" x14ac:dyDescent="0.25">
      <c r="A62" s="74" t="str">
        <f>+Hoja4!B58</f>
        <v>E-10502</v>
      </c>
      <c r="B62" s="103" t="str">
        <f>+Hoja4!C58</f>
        <v>VIÁTICOS DENTRO PAÍS</v>
      </c>
      <c r="C62" s="100">
        <f>+SUMIF(Hoja4!$B$3:$B$164,$A62,Hoja4!$D$3:$D$164)</f>
        <v>201134500</v>
      </c>
      <c r="D62" s="100">
        <f>+SUMIF(Hoja4!$B$3:$B$164,$A62,Hoja4!$E$3:$E$164)</f>
        <v>201134500</v>
      </c>
      <c r="E62" s="100">
        <f>+SUMIF(Hoja4!$B$3:$B$164,$A62,Hoja4!$F$3:$F$164)</f>
        <v>0</v>
      </c>
      <c r="F62" s="100">
        <f>+SUMIF(Hoja4!$B$3:$B$164,$A62,Hoja4!$J$3:$J$164)</f>
        <v>184691442.41</v>
      </c>
      <c r="G62" s="100">
        <f>+SUMIF(Hoja4!$B$3:$B$164,$A62,Hoja4!$K$3:$K$164)</f>
        <v>16443057.59</v>
      </c>
      <c r="H62" s="138">
        <f>+IFERROR(Hoja4!L58,0)</f>
        <v>0.91824844773025016</v>
      </c>
      <c r="I62" s="138">
        <f>+IFERROR(Hoja4!M58,0)</f>
        <v>8.1751552269749839E-2</v>
      </c>
    </row>
    <row r="63" spans="1:11" x14ac:dyDescent="0.25">
      <c r="A63" s="74" t="str">
        <f>+Hoja4!B59</f>
        <v>E-10503</v>
      </c>
      <c r="B63" s="103" t="str">
        <f>+Hoja4!C59</f>
        <v>TRANSPORTE EN EL EXT</v>
      </c>
      <c r="C63" s="100">
        <f>+SUMIF(Hoja4!$B$3:$B$164,$A63,Hoja4!$D$3:$D$164)</f>
        <v>15000000</v>
      </c>
      <c r="D63" s="100">
        <f>+SUMIF(Hoja4!$B$3:$B$164,$A63,Hoja4!$E$3:$E$164)</f>
        <v>15000000</v>
      </c>
      <c r="E63" s="100">
        <f>+SUMIF(Hoja4!$B$3:$B$164,$A63,Hoja4!$F$3:$F$164)</f>
        <v>0</v>
      </c>
      <c r="F63" s="100">
        <f>+SUMIF(Hoja4!$B$3:$B$164,$A63,Hoja4!$J$3:$J$164)</f>
        <v>11138597.08</v>
      </c>
      <c r="G63" s="100">
        <f>+SUMIF(Hoja4!$B$3:$B$164,$A63,Hoja4!$K$3:$K$164)</f>
        <v>3861402.92</v>
      </c>
      <c r="H63" s="138">
        <f>+IFERROR(Hoja4!L59,0)</f>
        <v>0.74257313866666663</v>
      </c>
      <c r="I63" s="138">
        <f>+IFERROR(Hoja4!M59,0)</f>
        <v>0.25742686133333331</v>
      </c>
    </row>
    <row r="64" spans="1:11" x14ac:dyDescent="0.25">
      <c r="A64" s="74" t="str">
        <f>+Hoja4!B60</f>
        <v>E-10504</v>
      </c>
      <c r="B64" s="103" t="str">
        <f>+Hoja4!C60</f>
        <v>VIÁTICOS EN EXTERIOR</v>
      </c>
      <c r="C64" s="100">
        <f>+SUMIF(Hoja4!$B$3:$B$164,$A64,Hoja4!$D$3:$D$164)</f>
        <v>19054000</v>
      </c>
      <c r="D64" s="100">
        <f>+SUMIF(Hoja4!$B$3:$B$164,$A64,Hoja4!$E$3:$E$164)</f>
        <v>19054000</v>
      </c>
      <c r="E64" s="100">
        <f>+SUMIF(Hoja4!$B$3:$B$164,$A64,Hoja4!$F$3:$F$164)</f>
        <v>0</v>
      </c>
      <c r="F64" s="100">
        <f>+SUMIF(Hoja4!$B$3:$B$164,$A64,Hoja4!$J$3:$J$164)</f>
        <v>12955215.09</v>
      </c>
      <c r="G64" s="100">
        <f>+SUMIF(Hoja4!$B$3:$B$164,$A64,Hoja4!$K$3:$K$164)</f>
        <v>6098784.9100000001</v>
      </c>
      <c r="H64" s="138">
        <f>+IFERROR(Hoja4!L60,0)</f>
        <v>0.67992101868374089</v>
      </c>
      <c r="I64" s="138">
        <f>+IFERROR(Hoja4!M60,0)</f>
        <v>0.32007898131625906</v>
      </c>
    </row>
    <row r="65" spans="1:11" s="23" customFormat="1" x14ac:dyDescent="0.25">
      <c r="A65" s="72" t="str">
        <f>+Hoja4!B61</f>
        <v>E-106</v>
      </c>
      <c r="B65" s="102" t="str">
        <f>+Hoja4!C61</f>
        <v>SEGUROS REASEG Y OTR</v>
      </c>
      <c r="C65" s="73">
        <f>SUM(C66:C67)</f>
        <v>1570140963</v>
      </c>
      <c r="D65" s="73">
        <f t="shared" ref="D65:G65" si="13">SUM(D66:D67)</f>
        <v>1570140963</v>
      </c>
      <c r="E65" s="73">
        <f t="shared" si="13"/>
        <v>0</v>
      </c>
      <c r="F65" s="73">
        <f t="shared" si="13"/>
        <v>1534262826.9300001</v>
      </c>
      <c r="G65" s="73">
        <f t="shared" si="13"/>
        <v>35878136.07</v>
      </c>
      <c r="H65" s="143">
        <f>+IFERROR(Hoja4!L61,0)</f>
        <v>0.97714973565083663</v>
      </c>
      <c r="I65" s="143">
        <f>+IFERROR(Hoja4!M61,0)</f>
        <v>2.2850264349163409E-2</v>
      </c>
      <c r="J65" s="128"/>
      <c r="K65" s="128">
        <f>+C65-Estado!C95</f>
        <v>0</v>
      </c>
    </row>
    <row r="66" spans="1:11" x14ac:dyDescent="0.25">
      <c r="A66" s="74" t="str">
        <f>+Hoja4!B62</f>
        <v>E-10601</v>
      </c>
      <c r="B66" s="103" t="str">
        <f>+Hoja4!C62</f>
        <v>SEGUROS</v>
      </c>
      <c r="C66" s="100">
        <f>+SUMIF(Hoja4!$B$3:$B$164,$A66,Hoja4!$D$3:$D$164)</f>
        <v>1568740963</v>
      </c>
      <c r="D66" s="100">
        <f>+SUMIF(Hoja4!$B$3:$B$164,$A66,Hoja4!$E$3:$E$164)</f>
        <v>1568740963</v>
      </c>
      <c r="E66" s="100">
        <f>+SUMIF(Hoja4!$B$3:$B$164,$A66,Hoja4!$F$3:$F$164)</f>
        <v>0</v>
      </c>
      <c r="F66" s="100">
        <f>+SUMIF(Hoja4!$B$3:$B$164,$A66,Hoja4!$J$3:$J$164)</f>
        <v>1534262826.9300001</v>
      </c>
      <c r="G66" s="100">
        <f>+SUMIF(Hoja4!$B$3:$B$164,$A66,Hoja4!$K$3:$K$164)</f>
        <v>34478136.07</v>
      </c>
      <c r="H66" s="138">
        <f>+IFERROR(Hoja4!L62,0)</f>
        <v>0.97802177868545914</v>
      </c>
      <c r="I66" s="138">
        <f>+IFERROR(Hoja4!M62,0)</f>
        <v>2.1978221314540889E-2</v>
      </c>
    </row>
    <row r="67" spans="1:11" x14ac:dyDescent="0.25">
      <c r="A67" s="74" t="str">
        <f>+Hoja4!B63</f>
        <v>E-10602</v>
      </c>
      <c r="B67" s="103" t="str">
        <f>+Hoja4!C63</f>
        <v>REASEGUROS</v>
      </c>
      <c r="C67" s="100">
        <f>+SUMIF(Hoja4!$B$3:$B$164,$A67,Hoja4!$D$3:$D$164)</f>
        <v>1400000</v>
      </c>
      <c r="D67" s="100">
        <f>+SUMIF(Hoja4!$B$3:$B$164,$A67,Hoja4!$E$3:$E$164)</f>
        <v>1400000</v>
      </c>
      <c r="E67" s="100">
        <f>+SUMIF(Hoja4!$B$3:$B$164,$A67,Hoja4!$F$3:$F$164)</f>
        <v>0</v>
      </c>
      <c r="F67" s="100">
        <f>+SUMIF(Hoja4!$B$3:$B$164,$A67,Hoja4!$J$3:$J$164)</f>
        <v>0</v>
      </c>
      <c r="G67" s="100">
        <f>+SUMIF(Hoja4!$B$3:$B$164,$A67,Hoja4!$K$3:$K$164)</f>
        <v>1400000</v>
      </c>
      <c r="H67" s="138">
        <f>+IFERROR(Hoja4!L63,0)</f>
        <v>0</v>
      </c>
      <c r="I67" s="138">
        <f>+IFERROR(Hoja4!M63,0)</f>
        <v>1</v>
      </c>
    </row>
    <row r="68" spans="1:11" s="23" customFormat="1" x14ac:dyDescent="0.25">
      <c r="A68" s="72" t="str">
        <f>+Hoja4!B64</f>
        <v>E-107</v>
      </c>
      <c r="B68" s="102" t="str">
        <f>+Hoja4!C64</f>
        <v>CAPACIT. Y PROTOCOLO</v>
      </c>
      <c r="C68" s="73">
        <f>SUM(C69:C71)</f>
        <v>38235630</v>
      </c>
      <c r="D68" s="73">
        <f t="shared" ref="D68:G68" si="14">SUM(D69:D71)</f>
        <v>38235630</v>
      </c>
      <c r="E68" s="73">
        <f t="shared" si="14"/>
        <v>0</v>
      </c>
      <c r="F68" s="73">
        <f t="shared" si="14"/>
        <v>24965188.199999999</v>
      </c>
      <c r="G68" s="73">
        <f t="shared" si="14"/>
        <v>13270441.800000001</v>
      </c>
      <c r="H68" s="143">
        <f>+IFERROR(Hoja4!L64,0)</f>
        <v>0.65292995564608192</v>
      </c>
      <c r="I68" s="143">
        <f>+IFERROR(Hoja4!M64,0)</f>
        <v>0.34707004435391808</v>
      </c>
      <c r="J68" s="128"/>
      <c r="K68" s="128"/>
    </row>
    <row r="69" spans="1:11" x14ac:dyDescent="0.25">
      <c r="A69" s="74" t="str">
        <f>+Hoja4!B65</f>
        <v>E-10701</v>
      </c>
      <c r="B69" s="103" t="str">
        <f>+Hoja4!C65</f>
        <v>ACTIV. CAPACITACIÓN</v>
      </c>
      <c r="C69" s="100">
        <f>+SUMIF(Hoja4!$B$3:$B$164,$A69,Hoja4!$D$3:$D$164)</f>
        <v>27506280</v>
      </c>
      <c r="D69" s="100">
        <f>+SUMIF(Hoja4!$B$3:$B$164,$A69,Hoja4!$E$3:$E$164)</f>
        <v>27506280</v>
      </c>
      <c r="E69" s="100">
        <f>+SUMIF(Hoja4!$B$3:$B$164,$A69,Hoja4!$F$3:$F$164)</f>
        <v>0</v>
      </c>
      <c r="F69" s="100">
        <f>+SUMIF(Hoja4!$B$3:$B$164,$A69,Hoja4!$J$3:$J$164)</f>
        <v>22333256</v>
      </c>
      <c r="G69" s="100">
        <f>+SUMIF(Hoja4!$B$3:$B$164,$A69,Hoja4!$K$3:$K$164)</f>
        <v>5173024</v>
      </c>
      <c r="H69" s="138">
        <f>+IFERROR(Hoja4!L65,0)</f>
        <v>0.811932984031283</v>
      </c>
      <c r="I69" s="138">
        <f>+IFERROR(Hoja4!M65,0)</f>
        <v>0.18806701596871697</v>
      </c>
    </row>
    <row r="70" spans="1:11" s="23" customFormat="1" x14ac:dyDescent="0.25">
      <c r="A70" s="74" t="str">
        <f>+Hoja4!B66</f>
        <v>E-10702</v>
      </c>
      <c r="B70" s="103" t="str">
        <f>+Hoja4!C66</f>
        <v>ACTIV.PROTOCOL Y SOC</v>
      </c>
      <c r="C70" s="100">
        <f>+SUMIF(Hoja4!$B$3:$B$164,$A70,Hoja4!$D$3:$D$164)</f>
        <v>9694350</v>
      </c>
      <c r="D70" s="100">
        <f>+SUMIF(Hoja4!$B$3:$B$164,$A70,Hoja4!$E$3:$E$164)</f>
        <v>9694350</v>
      </c>
      <c r="E70" s="100">
        <f>+SUMIF(Hoja4!$B$3:$B$164,$A70,Hoja4!$F$3:$F$164)</f>
        <v>0</v>
      </c>
      <c r="F70" s="100">
        <f>+SUMIF(Hoja4!$B$3:$B$164,$A70,Hoja4!$J$3:$J$164)</f>
        <v>1920971.2</v>
      </c>
      <c r="G70" s="100">
        <f>+SUMIF(Hoja4!$B$3:$B$164,$A70,Hoja4!$K$3:$K$164)</f>
        <v>7773378.7999999998</v>
      </c>
      <c r="H70" s="138">
        <f>+IFERROR(Hoja4!L66,0)</f>
        <v>0.19815368745712708</v>
      </c>
      <c r="I70" s="138">
        <f>+IFERROR(Hoja4!M66,0)</f>
        <v>0.80184631254287286</v>
      </c>
      <c r="J70" s="128"/>
      <c r="K70" s="128"/>
    </row>
    <row r="71" spans="1:11" x14ac:dyDescent="0.25">
      <c r="A71" s="74" t="str">
        <f>+Hoja4!B67</f>
        <v>E-10703</v>
      </c>
      <c r="B71" s="103" t="str">
        <f>+Hoja4!C67</f>
        <v>GASTOS REPRES.INSTIT</v>
      </c>
      <c r="C71" s="100">
        <f>+SUMIF(Hoja4!$B$3:$B$164,$A71,Hoja4!$D$3:$D$164)</f>
        <v>1035000</v>
      </c>
      <c r="D71" s="100">
        <f>+SUMIF(Hoja4!$B$3:$B$164,$A71,Hoja4!$E$3:$E$164)</f>
        <v>1035000</v>
      </c>
      <c r="E71" s="100">
        <f>+SUMIF(Hoja4!$B$3:$B$164,$A71,Hoja4!$F$3:$F$164)</f>
        <v>0</v>
      </c>
      <c r="F71" s="100">
        <f>+SUMIF(Hoja4!$B$3:$B$164,$A71,Hoja4!$J$3:$J$164)</f>
        <v>710961</v>
      </c>
      <c r="G71" s="100">
        <f>+SUMIF(Hoja4!$B$3:$B$164,$A71,Hoja4!$K$3:$K$164)</f>
        <v>324039</v>
      </c>
      <c r="H71" s="138">
        <f>+IFERROR(Hoja4!L67,0)</f>
        <v>0.6869188405797102</v>
      </c>
      <c r="I71" s="138">
        <f>+IFERROR(Hoja4!M67,0)</f>
        <v>0.31308115942028986</v>
      </c>
    </row>
    <row r="72" spans="1:11" s="23" customFormat="1" x14ac:dyDescent="0.25">
      <c r="A72" s="72" t="str">
        <f>+Hoja4!B68</f>
        <v>E-108</v>
      </c>
      <c r="B72" s="102" t="str">
        <f>+Hoja4!C68</f>
        <v>MANTEN. Y REPARACIÓN</v>
      </c>
      <c r="C72" s="73">
        <f>SUM(C73:C79)</f>
        <v>879490276</v>
      </c>
      <c r="D72" s="73">
        <f t="shared" ref="D72:G72" si="15">SUM(D73:D79)</f>
        <v>879490276</v>
      </c>
      <c r="E72" s="73">
        <f t="shared" si="15"/>
        <v>0</v>
      </c>
      <c r="F72" s="73">
        <f t="shared" si="15"/>
        <v>516728792.13000011</v>
      </c>
      <c r="G72" s="73">
        <f t="shared" si="15"/>
        <v>362761483.87</v>
      </c>
      <c r="H72" s="143">
        <f>+IFERROR(Hoja4!L68,0)</f>
        <v>0.58753212654053266</v>
      </c>
      <c r="I72" s="143">
        <f>+IFERROR(Hoja4!M68,0)</f>
        <v>0.41246787345946734</v>
      </c>
      <c r="J72" s="128"/>
      <c r="K72" s="128"/>
    </row>
    <row r="73" spans="1:11" x14ac:dyDescent="0.25">
      <c r="A73" s="74" t="str">
        <f>+Hoja4!B69</f>
        <v>E-10801</v>
      </c>
      <c r="B73" s="103" t="str">
        <f>+Hoja4!C69</f>
        <v>MANT.EDIF.,LOC.YTERR</v>
      </c>
      <c r="C73" s="100">
        <f>+SUMIF(Hoja4!$B$3:$B$164,$A73,Hoja4!$D$3:$D$164)</f>
        <v>159211555</v>
      </c>
      <c r="D73" s="100">
        <f>+SUMIF(Hoja4!$B$3:$B$164,$A73,Hoja4!$E$3:$E$164)</f>
        <v>159211555</v>
      </c>
      <c r="E73" s="100">
        <f>+SUMIF(Hoja4!$B$3:$B$164,$A73,Hoja4!$F$3:$F$164)</f>
        <v>0</v>
      </c>
      <c r="F73" s="100">
        <f>+SUMIF(Hoja4!$B$3:$B$164,$A73,Hoja4!$J$3:$J$164)</f>
        <v>68910881.25</v>
      </c>
      <c r="G73" s="100">
        <f>+SUMIF(Hoja4!$B$3:$B$164,$A73,Hoja4!$K$3:$K$164)</f>
        <v>90300673.75</v>
      </c>
      <c r="H73" s="138">
        <f>+IFERROR(Hoja4!L69,0)</f>
        <v>0.43282587906386566</v>
      </c>
      <c r="I73" s="138">
        <f>+IFERROR(Hoja4!M69,0)</f>
        <v>0.56717412093613429</v>
      </c>
    </row>
    <row r="74" spans="1:11" x14ac:dyDescent="0.25">
      <c r="A74" s="74" t="str">
        <f>+Hoja4!B70</f>
        <v>E-10804</v>
      </c>
      <c r="B74" s="103" t="str">
        <f>+Hoja4!C70</f>
        <v>MANT.Y REP.M.EQ.PROD</v>
      </c>
      <c r="C74" s="100">
        <f>+SUMIF(Hoja4!$B$3:$B$164,$A74,Hoja4!$D$3:$D$164)</f>
        <v>334124899</v>
      </c>
      <c r="D74" s="100">
        <f>+SUMIF(Hoja4!$B$3:$B$164,$A74,Hoja4!$E$3:$E$164)</f>
        <v>334124899</v>
      </c>
      <c r="E74" s="100">
        <f>+SUMIF(Hoja4!$B$3:$B$164,$A74,Hoja4!$F$3:$F$164)</f>
        <v>0</v>
      </c>
      <c r="F74" s="100">
        <f>+SUMIF(Hoja4!$B$3:$B$164,$A74,Hoja4!$J$3:$J$164)</f>
        <v>155483599.67000002</v>
      </c>
      <c r="G74" s="100">
        <f>+SUMIF(Hoja4!$B$3:$B$164,$A74,Hoja4!$K$3:$K$164)</f>
        <v>178641299.33000001</v>
      </c>
      <c r="H74" s="138">
        <f>+IFERROR(Hoja4!L70,0)</f>
        <v>0.46534574386807376</v>
      </c>
      <c r="I74" s="138">
        <f>+IFERROR(Hoja4!M70,0)</f>
        <v>0.5346542561319263</v>
      </c>
    </row>
    <row r="75" spans="1:11" x14ac:dyDescent="0.25">
      <c r="A75" s="74" t="str">
        <f>+Hoja4!B71</f>
        <v>E-10805</v>
      </c>
      <c r="B75" s="103" t="str">
        <f>+Hoja4!C71</f>
        <v>MANT.Y REP.EQ.TRANSP</v>
      </c>
      <c r="C75" s="100">
        <f>+SUMIF(Hoja4!$B$3:$B$164,$A75,Hoja4!$D$3:$D$164)</f>
        <v>116796000</v>
      </c>
      <c r="D75" s="100">
        <f>+SUMIF(Hoja4!$B$3:$B$164,$A75,Hoja4!$E$3:$E$164)</f>
        <v>116796000</v>
      </c>
      <c r="E75" s="100">
        <f>+SUMIF(Hoja4!$B$3:$B$164,$A75,Hoja4!$F$3:$F$164)</f>
        <v>0</v>
      </c>
      <c r="F75" s="100">
        <f>+SUMIF(Hoja4!$B$3:$B$164,$A75,Hoja4!$J$3:$J$164)</f>
        <v>95311856.030000001</v>
      </c>
      <c r="G75" s="100">
        <f>+SUMIF(Hoja4!$B$3:$B$164,$A75,Hoja4!$K$3:$K$164)</f>
        <v>21484143.969999999</v>
      </c>
      <c r="H75" s="138">
        <f>+IFERROR(Hoja4!L71,0)</f>
        <v>0.81605411169903075</v>
      </c>
      <c r="I75" s="138">
        <f>+IFERROR(Hoja4!M71,0)</f>
        <v>0.1839458883009692</v>
      </c>
    </row>
    <row r="76" spans="1:11" x14ac:dyDescent="0.25">
      <c r="A76" s="74" t="str">
        <f>+Hoja4!B72</f>
        <v>E-10806</v>
      </c>
      <c r="B76" s="103" t="str">
        <f>+Hoja4!C72</f>
        <v>MANT.Y REP.EQ.COMUNI</v>
      </c>
      <c r="C76" s="100">
        <f>+SUMIF(Hoja4!$B$3:$B$164,$A76,Hoja4!$D$3:$D$164)</f>
        <v>9050000</v>
      </c>
      <c r="D76" s="100">
        <f>+SUMIF(Hoja4!$B$3:$B$164,$A76,Hoja4!$E$3:$E$164)</f>
        <v>9050000</v>
      </c>
      <c r="E76" s="100">
        <f>+SUMIF(Hoja4!$B$3:$B$164,$A76,Hoja4!$F$3:$F$164)</f>
        <v>0</v>
      </c>
      <c r="F76" s="100">
        <f>+SUMIF(Hoja4!$B$3:$B$164,$A76,Hoja4!$J$3:$J$164)</f>
        <v>4819000</v>
      </c>
      <c r="G76" s="100">
        <f>+SUMIF(Hoja4!$B$3:$B$164,$A76,Hoja4!$K$3:$K$164)</f>
        <v>4231000</v>
      </c>
      <c r="H76" s="138">
        <f>+IFERROR(Hoja4!L72,0)</f>
        <v>0.53248618784530388</v>
      </c>
      <c r="I76" s="138">
        <f>+IFERROR(Hoja4!M72,0)</f>
        <v>0.46751381215469612</v>
      </c>
    </row>
    <row r="77" spans="1:11" x14ac:dyDescent="0.25">
      <c r="A77" s="74" t="str">
        <f>+Hoja4!B73</f>
        <v>E-10807</v>
      </c>
      <c r="B77" s="103" t="str">
        <f>+Hoja4!C73</f>
        <v>MANT.Y REP.EQ.MOB.OF</v>
      </c>
      <c r="C77" s="100">
        <f>+SUMIF(Hoja4!$B$3:$B$164,$A77,Hoja4!$D$3:$D$164)</f>
        <v>37966000</v>
      </c>
      <c r="D77" s="100">
        <f>+SUMIF(Hoja4!$B$3:$B$164,$A77,Hoja4!$E$3:$E$164)</f>
        <v>37966000</v>
      </c>
      <c r="E77" s="100">
        <f>+SUMIF(Hoja4!$B$3:$B$164,$A77,Hoja4!$F$3:$F$164)</f>
        <v>0</v>
      </c>
      <c r="F77" s="100">
        <f>+SUMIF(Hoja4!$B$3:$B$164,$A77,Hoja4!$J$3:$J$164)</f>
        <v>21199831.170000002</v>
      </c>
      <c r="G77" s="100">
        <f>+SUMIF(Hoja4!$B$3:$B$164,$A77,Hoja4!$K$3:$K$164)</f>
        <v>16766168.829999998</v>
      </c>
      <c r="H77" s="138">
        <f>+IFERROR(Hoja4!L73,0)</f>
        <v>0.55838990596849813</v>
      </c>
      <c r="I77" s="138">
        <f>+IFERROR(Hoja4!M73,0)</f>
        <v>0.44161009403150181</v>
      </c>
    </row>
    <row r="78" spans="1:11" x14ac:dyDescent="0.25">
      <c r="A78" s="74" t="str">
        <f>+Hoja4!B74</f>
        <v>E-10808</v>
      </c>
      <c r="B78" s="103" t="str">
        <f>+Hoja4!C74</f>
        <v>MANT.YREP.EQ.C.S.INF</v>
      </c>
      <c r="C78" s="100">
        <f>+SUMIF(Hoja4!$B$3:$B$164,$A78,Hoja4!$D$3:$D$164)</f>
        <v>54905957</v>
      </c>
      <c r="D78" s="100">
        <f>+SUMIF(Hoja4!$B$3:$B$164,$A78,Hoja4!$E$3:$E$164)</f>
        <v>54905957</v>
      </c>
      <c r="E78" s="100">
        <f>+SUMIF(Hoja4!$B$3:$B$164,$A78,Hoja4!$F$3:$F$164)</f>
        <v>0</v>
      </c>
      <c r="F78" s="100">
        <f>+SUMIF(Hoja4!$B$3:$B$164,$A78,Hoja4!$J$3:$J$164)</f>
        <v>43230436.100000001</v>
      </c>
      <c r="G78" s="100">
        <f>+SUMIF(Hoja4!$B$3:$B$164,$A78,Hoja4!$K$3:$K$164)</f>
        <v>11675520.899999999</v>
      </c>
      <c r="H78" s="138">
        <f>+IFERROR(Hoja4!L74,0)</f>
        <v>0.78735420457201033</v>
      </c>
      <c r="I78" s="138">
        <f>+IFERROR(Hoja4!M74,0)</f>
        <v>0.2126457954279897</v>
      </c>
    </row>
    <row r="79" spans="1:11" x14ac:dyDescent="0.25">
      <c r="A79" s="74" t="str">
        <f>+Hoja4!B75</f>
        <v>E-10899</v>
      </c>
      <c r="B79" s="103" t="str">
        <f>+Hoja4!C75</f>
        <v>MANT.Y REP.OTROS EQ.</v>
      </c>
      <c r="C79" s="100">
        <f>+SUMIF(Hoja4!$B$3:$B$164,$A79,Hoja4!$D$3:$D$164)</f>
        <v>167435865</v>
      </c>
      <c r="D79" s="100">
        <f>+SUMIF(Hoja4!$B$3:$B$164,$A79,Hoja4!$E$3:$E$164)</f>
        <v>167435865</v>
      </c>
      <c r="E79" s="100">
        <f>+SUMIF(Hoja4!$B$3:$B$164,$A79,Hoja4!$F$3:$F$164)</f>
        <v>0</v>
      </c>
      <c r="F79" s="100">
        <f>+SUMIF(Hoja4!$B$3:$B$164,$A79,Hoja4!$J$3:$J$164)</f>
        <v>127773187.91</v>
      </c>
      <c r="G79" s="100">
        <f>+SUMIF(Hoja4!$B$3:$B$164,$A79,Hoja4!$K$3:$K$164)</f>
        <v>39662677.090000004</v>
      </c>
      <c r="H79" s="138">
        <f>+IFERROR(Hoja4!L75,0)</f>
        <v>0.76311719660539867</v>
      </c>
      <c r="I79" s="138">
        <f>+IFERROR(Hoja4!M75,0)</f>
        <v>0.2368828033946013</v>
      </c>
    </row>
    <row r="80" spans="1:11" s="23" customFormat="1" x14ac:dyDescent="0.25">
      <c r="A80" s="72" t="str">
        <f>+Hoja4!B76</f>
        <v>E-109</v>
      </c>
      <c r="B80" s="102" t="str">
        <f>+Hoja4!C76</f>
        <v>IMPUESTOS</v>
      </c>
      <c r="C80" s="73">
        <f>+C81</f>
        <v>21312000</v>
      </c>
      <c r="D80" s="73">
        <f t="shared" ref="D80:G80" si="16">+D81</f>
        <v>21312000</v>
      </c>
      <c r="E80" s="73">
        <f t="shared" si="16"/>
        <v>0</v>
      </c>
      <c r="F80" s="73">
        <f t="shared" si="16"/>
        <v>15915156</v>
      </c>
      <c r="G80" s="73">
        <f t="shared" si="16"/>
        <v>5396844</v>
      </c>
      <c r="H80" s="143">
        <f>+IFERROR(Hoja4!L76,0)</f>
        <v>0.74676970720720726</v>
      </c>
      <c r="I80" s="143">
        <f>+IFERROR(Hoja4!M76,0)</f>
        <v>0.2532302927927928</v>
      </c>
      <c r="J80" s="128"/>
      <c r="K80" s="128"/>
    </row>
    <row r="81" spans="1:11" x14ac:dyDescent="0.25">
      <c r="A81" s="74" t="str">
        <f>+Hoja4!B77</f>
        <v>E-10999</v>
      </c>
      <c r="B81" s="103" t="str">
        <f>+Hoja4!C77</f>
        <v>TROS IMPUESTOS</v>
      </c>
      <c r="C81" s="100">
        <f>+SUMIF(Hoja4!$B$3:$B$164,$A81,Hoja4!$D$3:$D$164)</f>
        <v>21312000</v>
      </c>
      <c r="D81" s="100">
        <f>+SUMIF(Hoja4!$B$3:$B$164,$A81,Hoja4!$E$3:$E$164)</f>
        <v>21312000</v>
      </c>
      <c r="E81" s="100">
        <f>+SUMIF(Hoja4!$B$3:$B$164,$A81,Hoja4!$F$3:$F$164)</f>
        <v>0</v>
      </c>
      <c r="F81" s="100">
        <f>+SUMIF(Hoja4!$B$3:$B$164,$A81,Hoja4!$J$3:$J$164)</f>
        <v>15915156</v>
      </c>
      <c r="G81" s="100">
        <f>+SUMIF(Hoja4!$B$3:$B$164,$A81,Hoja4!$K$3:$K$164)</f>
        <v>5396844</v>
      </c>
      <c r="H81" s="138">
        <f>+IFERROR(Hoja4!L77,0)</f>
        <v>0.74676970720720726</v>
      </c>
      <c r="I81" s="138">
        <f>+IFERROR(Hoja4!M77,0)</f>
        <v>0.2532302927927928</v>
      </c>
    </row>
    <row r="82" spans="1:11" s="23" customFormat="1" x14ac:dyDescent="0.25">
      <c r="A82" s="72" t="str">
        <f>+Hoja4!B78</f>
        <v>E-199</v>
      </c>
      <c r="B82" s="102" t="str">
        <f>+Hoja4!C78</f>
        <v>SERVICIOS DIVERSOS</v>
      </c>
      <c r="C82" s="73">
        <f>SUM(C83:C85)</f>
        <v>56219000</v>
      </c>
      <c r="D82" s="73">
        <f t="shared" ref="D82:G82" si="17">SUM(D83:D85)</f>
        <v>56219000</v>
      </c>
      <c r="E82" s="73">
        <f t="shared" si="17"/>
        <v>0</v>
      </c>
      <c r="F82" s="73">
        <f t="shared" si="17"/>
        <v>22195734.190000001</v>
      </c>
      <c r="G82" s="73">
        <f t="shared" si="17"/>
        <v>34023265.810000002</v>
      </c>
      <c r="H82" s="143">
        <f>+IFERROR(Hoja4!L78,0)</f>
        <v>0.39480841334780054</v>
      </c>
      <c r="I82" s="143">
        <f>+IFERROR(Hoja4!M78,0)</f>
        <v>0.60519158665219952</v>
      </c>
      <c r="J82" s="128"/>
      <c r="K82" s="128"/>
    </row>
    <row r="83" spans="1:11" x14ac:dyDescent="0.25">
      <c r="A83" s="74" t="str">
        <f>+Hoja4!B79</f>
        <v>E-19901</v>
      </c>
      <c r="B83" s="103" t="str">
        <f>+Hoja4!C79</f>
        <v>SERV. DE REGULACIÓN</v>
      </c>
      <c r="C83" s="100">
        <f>+SUMIF(Hoja4!$B$3:$B$164,$A83,Hoja4!$D$3:$D$164)</f>
        <v>10969000</v>
      </c>
      <c r="D83" s="100">
        <f>+SUMIF(Hoja4!$B$3:$B$164,$A83,Hoja4!$E$3:$E$164)</f>
        <v>10969000</v>
      </c>
      <c r="E83" s="100">
        <f>+SUMIF(Hoja4!$B$3:$B$164,$A83,Hoja4!$F$3:$F$164)</f>
        <v>0</v>
      </c>
      <c r="F83" s="100">
        <f>+SUMIF(Hoja4!$B$3:$B$164,$A83,Hoja4!$J$3:$J$164)</f>
        <v>730154.85</v>
      </c>
      <c r="G83" s="100">
        <f>+SUMIF(Hoja4!$B$3:$B$164,$A83,Hoja4!$K$3:$K$164)</f>
        <v>10238845.15</v>
      </c>
      <c r="H83" s="138">
        <f>+IFERROR(Hoja4!L79,0)</f>
        <v>6.6565306773634786E-2</v>
      </c>
      <c r="I83" s="138">
        <f>+IFERROR(Hoja4!M79,0)</f>
        <v>0.9334346932263653</v>
      </c>
    </row>
    <row r="84" spans="1:11" x14ac:dyDescent="0.25">
      <c r="A84" s="74" t="str">
        <f>+Hoja4!B80</f>
        <v>E-19902</v>
      </c>
      <c r="B84" s="103" t="str">
        <f>+Hoja4!C80</f>
        <v>INT. MORAT. Y MULTAS</v>
      </c>
      <c r="C84" s="100">
        <f>+SUMIF(Hoja4!$B$3:$B$164,$A84,Hoja4!$D$3:$D$164)</f>
        <v>10650000</v>
      </c>
      <c r="D84" s="100">
        <f>+SUMIF(Hoja4!$B$3:$B$164,$A84,Hoja4!$E$3:$E$164)</f>
        <v>10650000</v>
      </c>
      <c r="E84" s="100">
        <f>+SUMIF(Hoja4!$B$3:$B$164,$A84,Hoja4!$F$3:$F$164)</f>
        <v>0</v>
      </c>
      <c r="F84" s="100">
        <f>+SUMIF(Hoja4!$B$3:$B$164,$A84,Hoja4!$J$3:$J$164)</f>
        <v>3212410.34</v>
      </c>
      <c r="G84" s="100">
        <f>+SUMIF(Hoja4!$B$3:$B$164,$A84,Hoja4!$K$3:$K$164)</f>
        <v>7437589.6600000001</v>
      </c>
      <c r="H84" s="138">
        <f>+IFERROR(Hoja4!L80,0)</f>
        <v>0.30163477370892017</v>
      </c>
      <c r="I84" s="138">
        <f>+IFERROR(Hoja4!M80,0)</f>
        <v>0.69836522629107978</v>
      </c>
    </row>
    <row r="85" spans="1:11" x14ac:dyDescent="0.25">
      <c r="A85" s="74" t="str">
        <f>+Hoja4!B81</f>
        <v>E-19905</v>
      </c>
      <c r="B85" s="103" t="str">
        <f>+Hoja4!C81</f>
        <v>DEDUCIBLES</v>
      </c>
      <c r="C85" s="100">
        <f>+SUMIF(Hoja4!$B$3:$B$164,$A85,Hoja4!$D$3:$D$164)</f>
        <v>34600000</v>
      </c>
      <c r="D85" s="100">
        <f>+SUMIF(Hoja4!$B$3:$B$164,$A85,Hoja4!$E$3:$E$164)</f>
        <v>34600000</v>
      </c>
      <c r="E85" s="100">
        <f>+SUMIF(Hoja4!$B$3:$B$164,$A85,Hoja4!$F$3:$F$164)</f>
        <v>0</v>
      </c>
      <c r="F85" s="100">
        <f>+SUMIF(Hoja4!$B$3:$B$164,$A85,Hoja4!$J$3:$J$164)</f>
        <v>18253169</v>
      </c>
      <c r="G85" s="100">
        <f>+SUMIF(Hoja4!$B$3:$B$164,$A85,Hoja4!$K$3:$K$164)</f>
        <v>16346831</v>
      </c>
      <c r="H85" s="138">
        <f>+IFERROR(Hoja4!L81,0)</f>
        <v>0.5275482369942196</v>
      </c>
      <c r="I85" s="138">
        <f>+IFERROR(Hoja4!M81,0)</f>
        <v>0.47245176300578035</v>
      </c>
    </row>
    <row r="86" spans="1:11" x14ac:dyDescent="0.25">
      <c r="A86" s="151" t="str">
        <f>+Hoja4!B82</f>
        <v>E-2</v>
      </c>
      <c r="B86" s="152" t="str">
        <f>+Hoja4!C82</f>
        <v>MATERIALES Y SUMINIS</v>
      </c>
      <c r="C86" s="153">
        <f>+C87+C93+C96+C104+C107</f>
        <v>17156319741.66</v>
      </c>
      <c r="D86" s="153">
        <f>+Hoja4!E82</f>
        <v>17156319741.66</v>
      </c>
      <c r="E86" s="153">
        <f>+Hoja4!F82</f>
        <v>112744985.28</v>
      </c>
      <c r="F86" s="153">
        <f>SUM(Hoja4!G82:I82)</f>
        <v>14605733208.690002</v>
      </c>
      <c r="G86" s="156">
        <f>+Hoja4!K82</f>
        <v>2437841547.6899996</v>
      </c>
      <c r="H86" s="154">
        <f>+IFERROR(Hoja4!L82,0)</f>
        <v>0.8513325368507495</v>
      </c>
      <c r="I86" s="154">
        <f>+IFERROR(Hoja4!M82,0)</f>
        <v>0.14209583316230037</v>
      </c>
      <c r="K86" s="25">
        <f>+C86-Estado!C116</f>
        <v>0</v>
      </c>
    </row>
    <row r="87" spans="1:11" s="23" customFormat="1" x14ac:dyDescent="0.25">
      <c r="A87" s="72" t="str">
        <f>+Hoja4!B83</f>
        <v>E-201</v>
      </c>
      <c r="B87" s="102" t="str">
        <f>+Hoja4!C83</f>
        <v>PRODUC QUÍM Y CONEX</v>
      </c>
      <c r="C87" s="73">
        <f>SUM(C88:C92)</f>
        <v>995436870</v>
      </c>
      <c r="D87" s="73">
        <f t="shared" ref="D87:G87" si="18">SUM(D88:D92)</f>
        <v>995436870</v>
      </c>
      <c r="E87" s="73">
        <f t="shared" si="18"/>
        <v>575000</v>
      </c>
      <c r="F87" s="73">
        <f t="shared" si="18"/>
        <v>870206616.91000009</v>
      </c>
      <c r="G87" s="73">
        <f t="shared" si="18"/>
        <v>124655253.09</v>
      </c>
      <c r="H87" s="143">
        <f>+IFERROR(Hoja4!L83,0)</f>
        <v>0.87419568546823057</v>
      </c>
      <c r="I87" s="143">
        <f>+IFERROR(Hoja4!M83,0)</f>
        <v>0.12522667870439638</v>
      </c>
      <c r="J87" s="128"/>
      <c r="K87" s="128"/>
    </row>
    <row r="88" spans="1:11" x14ac:dyDescent="0.25">
      <c r="A88" s="74" t="str">
        <f>+Hoja4!B84</f>
        <v>E-20101</v>
      </c>
      <c r="B88" s="103" t="str">
        <f>+Hoja4!C84</f>
        <v>COMB Y LUBRICANTES</v>
      </c>
      <c r="C88" s="100">
        <f>+SUMIF(Hoja4!$B$3:$B$164,$A88,Hoja4!$D$3:$D$164)</f>
        <v>672961134</v>
      </c>
      <c r="D88" s="100">
        <f>+SUMIF(Hoja4!$B$3:$B$164,$A88,Hoja4!$E$3:$E$164)</f>
        <v>672961134</v>
      </c>
      <c r="E88" s="100">
        <f>+SUMIF(Hoja4!$B$3:$B$164,$A88,Hoja4!$F$3:$F$164)</f>
        <v>0</v>
      </c>
      <c r="F88" s="100">
        <f>+SUMIF(Hoja4!$B$3:$B$164,$A88,Hoja4!$J$3:$J$164)</f>
        <v>578758380.4000001</v>
      </c>
      <c r="G88" s="100">
        <f>+SUMIF(Hoja4!$B$3:$B$164,$A88,Hoja4!$K$3:$K$164)</f>
        <v>94202753.599999994</v>
      </c>
      <c r="H88" s="138">
        <f>+IFERROR(Hoja4!L84,0)</f>
        <v>0.86001754211261794</v>
      </c>
      <c r="I88" s="138">
        <f>+IFERROR(Hoja4!M84,0)</f>
        <v>0.13998245788738223</v>
      </c>
    </row>
    <row r="89" spans="1:11" x14ac:dyDescent="0.25">
      <c r="A89" s="74" t="str">
        <f>+Hoja4!B85</f>
        <v>E-20102</v>
      </c>
      <c r="B89" s="103" t="str">
        <f>+Hoja4!C85</f>
        <v>PROD FARMAC Y MEDIC.</v>
      </c>
      <c r="C89" s="100">
        <f>+SUMIF(Hoja4!$B$3:$B$164,$A89,Hoja4!$D$3:$D$164)</f>
        <v>210618025</v>
      </c>
      <c r="D89" s="100">
        <f>+SUMIF(Hoja4!$B$3:$B$164,$A89,Hoja4!$E$3:$E$164)</f>
        <v>210618025</v>
      </c>
      <c r="E89" s="100">
        <f>+SUMIF(Hoja4!$B$3:$B$164,$A89,Hoja4!$F$3:$F$164)</f>
        <v>575000</v>
      </c>
      <c r="F89" s="100">
        <f>+SUMIF(Hoja4!$B$3:$B$164,$A89,Hoja4!$J$3:$J$164)</f>
        <v>204923337.36000001</v>
      </c>
      <c r="G89" s="100">
        <f>+SUMIF(Hoja4!$B$3:$B$164,$A89,Hoja4!$K$3:$K$164)</f>
        <v>5119687.6399999997</v>
      </c>
      <c r="H89" s="138">
        <f>+IFERROR(Hoja4!L85,0)</f>
        <v>0.97296201196455057</v>
      </c>
      <c r="I89" s="138">
        <f>+IFERROR(Hoja4!M85,0)</f>
        <v>2.4307927301094004E-2</v>
      </c>
    </row>
    <row r="90" spans="1:11" x14ac:dyDescent="0.25">
      <c r="A90" s="74" t="str">
        <f>+Hoja4!B86</f>
        <v>E-20103</v>
      </c>
      <c r="B90" s="103" t="str">
        <f>+Hoja4!C86</f>
        <v>PRODUCTOS VETERIN.</v>
      </c>
      <c r="C90" s="100">
        <f>+SUMIF(Hoja4!$B$3:$B$164,$A90,Hoja4!$D$3:$D$164)</f>
        <v>6774000</v>
      </c>
      <c r="D90" s="100">
        <f>+SUMIF(Hoja4!$B$3:$B$164,$A90,Hoja4!$E$3:$E$164)</f>
        <v>6774000</v>
      </c>
      <c r="E90" s="100">
        <f>+SUMIF(Hoja4!$B$3:$B$164,$A90,Hoja4!$F$3:$F$164)</f>
        <v>0</v>
      </c>
      <c r="F90" s="100">
        <f>+SUMIF(Hoja4!$B$3:$B$164,$A90,Hoja4!$J$3:$J$164)</f>
        <v>0</v>
      </c>
      <c r="G90" s="100">
        <f>+SUMIF(Hoja4!$B$3:$B$164,$A90,Hoja4!$K$3:$K$164)</f>
        <v>6774000</v>
      </c>
      <c r="H90" s="138">
        <f>+IFERROR(Hoja4!L86,0)</f>
        <v>0</v>
      </c>
      <c r="I90" s="138">
        <f>+IFERROR(Hoja4!M86,0)</f>
        <v>1</v>
      </c>
    </row>
    <row r="91" spans="1:11" x14ac:dyDescent="0.25">
      <c r="A91" s="74" t="str">
        <f>+Hoja4!B87</f>
        <v>E-20104</v>
      </c>
      <c r="B91" s="103" t="str">
        <f>+Hoja4!C87</f>
        <v>TINTAS, PINT.Y DILUY</v>
      </c>
      <c r="C91" s="100">
        <f>+SUMIF(Hoja4!$B$3:$B$164,$A91,Hoja4!$D$3:$D$164)</f>
        <v>92886178</v>
      </c>
      <c r="D91" s="100">
        <f>+SUMIF(Hoja4!$B$3:$B$164,$A91,Hoja4!$E$3:$E$164)</f>
        <v>92886178</v>
      </c>
      <c r="E91" s="100">
        <f>+SUMIF(Hoja4!$B$3:$B$164,$A91,Hoja4!$F$3:$F$164)</f>
        <v>0</v>
      </c>
      <c r="F91" s="100">
        <f>+SUMIF(Hoja4!$B$3:$B$164,$A91,Hoja4!$J$3:$J$164)</f>
        <v>76476556.150000006</v>
      </c>
      <c r="G91" s="100">
        <f>+SUMIF(Hoja4!$B$3:$B$164,$A91,Hoja4!$K$3:$K$164)</f>
        <v>16409621.850000001</v>
      </c>
      <c r="H91" s="138">
        <f>+IFERROR(Hoja4!L87,0)</f>
        <v>0.82333623577449822</v>
      </c>
      <c r="I91" s="138">
        <f>+IFERROR(Hoja4!M87,0)</f>
        <v>0.1766637642255019</v>
      </c>
    </row>
    <row r="92" spans="1:11" x14ac:dyDescent="0.25">
      <c r="A92" s="74" t="str">
        <f>+Hoja4!B88</f>
        <v>E-20199</v>
      </c>
      <c r="B92" s="103" t="str">
        <f>+Hoja4!C88</f>
        <v>OTR.PROD.QUÍM YCONEX</v>
      </c>
      <c r="C92" s="100">
        <f>+SUMIF(Hoja4!$B$3:$B$164,$A92,Hoja4!$D$3:$D$164)</f>
        <v>12197533</v>
      </c>
      <c r="D92" s="100">
        <f>+SUMIF(Hoja4!$B$3:$B$164,$A92,Hoja4!$E$3:$E$164)</f>
        <v>12197533</v>
      </c>
      <c r="E92" s="100">
        <f>+SUMIF(Hoja4!$B$3:$B$164,$A92,Hoja4!$F$3:$F$164)</f>
        <v>0</v>
      </c>
      <c r="F92" s="100">
        <f>+SUMIF(Hoja4!$B$3:$B$164,$A92,Hoja4!$J$3:$J$164)</f>
        <v>10048343</v>
      </c>
      <c r="G92" s="100">
        <f>+SUMIF(Hoja4!$B$3:$B$164,$A92,Hoja4!$K$3:$K$164)</f>
        <v>2149190</v>
      </c>
      <c r="H92" s="138">
        <f>+IFERROR(Hoja4!L88,0)</f>
        <v>0.82380125554897043</v>
      </c>
      <c r="I92" s="138">
        <f>+IFERROR(Hoja4!M88,0)</f>
        <v>0.17619874445102957</v>
      </c>
    </row>
    <row r="93" spans="1:11" s="23" customFormat="1" x14ac:dyDescent="0.25">
      <c r="A93" s="72" t="str">
        <f>+Hoja4!B89</f>
        <v>E-202</v>
      </c>
      <c r="B93" s="102" t="str">
        <f>+Hoja4!C89</f>
        <v>ALIMEN Y PRODUC AGRO</v>
      </c>
      <c r="C93" s="73">
        <f>SUM(C94:C95)</f>
        <v>12205661519.66</v>
      </c>
      <c r="D93" s="73">
        <f t="shared" ref="D93:G93" si="19">SUM(D94:D95)</f>
        <v>12205661519.66</v>
      </c>
      <c r="E93" s="73">
        <f t="shared" si="19"/>
        <v>0</v>
      </c>
      <c r="F93" s="73">
        <f t="shared" si="19"/>
        <v>10204841882.059999</v>
      </c>
      <c r="G93" s="73">
        <f t="shared" si="19"/>
        <v>2000819637.5999999</v>
      </c>
      <c r="H93" s="143">
        <f>+IFERROR(Hoja4!L89,0)</f>
        <v>0.83607446148025455</v>
      </c>
      <c r="I93" s="143">
        <f>+IFERROR(Hoja4!M89,0)</f>
        <v>0.16392553851974542</v>
      </c>
      <c r="J93" s="128"/>
      <c r="K93" s="128"/>
    </row>
    <row r="94" spans="1:11" x14ac:dyDescent="0.25">
      <c r="A94" s="74" t="str">
        <f>+Hoja4!B90</f>
        <v>E-20203</v>
      </c>
      <c r="B94" s="103" t="str">
        <f>+Hoja4!C90</f>
        <v>ALIMENTOS Y BEBIDAS</v>
      </c>
      <c r="C94" s="100">
        <f>+SUMIF(Hoja4!$B$3:$B$164,$A94,Hoja4!$D$3:$D$164)</f>
        <v>12188132519.66</v>
      </c>
      <c r="D94" s="100">
        <f>+SUMIF(Hoja4!$B$3:$B$164,$A94,Hoja4!$E$3:$E$164)</f>
        <v>12188132519.66</v>
      </c>
      <c r="E94" s="100">
        <f>+SUMIF(Hoja4!$B$3:$B$164,$A94,Hoja4!$F$3:$F$164)</f>
        <v>0</v>
      </c>
      <c r="F94" s="100">
        <f>+SUMIF(Hoja4!$B$3:$B$164,$A94,Hoja4!$J$3:$J$164)</f>
        <v>10187346407.059999</v>
      </c>
      <c r="G94" s="100">
        <f>+SUMIF(Hoja4!$B$3:$B$164,$A94,Hoja4!$K$3:$K$164)</f>
        <v>2000786112.5999999</v>
      </c>
      <c r="H94" s="138">
        <f>+IFERROR(Hoja4!L90,0)</f>
        <v>0.83584145402319487</v>
      </c>
      <c r="I94" s="138">
        <f>+IFERROR(Hoja4!M90,0)</f>
        <v>0.16415854597680513</v>
      </c>
    </row>
    <row r="95" spans="1:11" s="23" customFormat="1" x14ac:dyDescent="0.25">
      <c r="A95" s="74" t="str">
        <f>+Hoja4!B91</f>
        <v>E-20204</v>
      </c>
      <c r="B95" s="103" t="str">
        <f>+Hoja4!C91</f>
        <v>ALIM. PARA ANIMALES</v>
      </c>
      <c r="C95" s="100">
        <f>+SUMIF(Hoja4!$B$3:$B$164,$A95,Hoja4!$D$3:$D$164)</f>
        <v>17529000</v>
      </c>
      <c r="D95" s="100">
        <f>+SUMIF(Hoja4!$B$3:$B$164,$A95,Hoja4!$E$3:$E$164)</f>
        <v>17529000</v>
      </c>
      <c r="E95" s="100">
        <f>+SUMIF(Hoja4!$B$3:$B$164,$A95,Hoja4!$F$3:$F$164)</f>
        <v>0</v>
      </c>
      <c r="F95" s="100">
        <f>+SUMIF(Hoja4!$B$3:$B$164,$A95,Hoja4!$J$3:$J$164)</f>
        <v>17495475</v>
      </c>
      <c r="G95" s="100">
        <f>+SUMIF(Hoja4!$B$3:$B$164,$A95,Hoja4!$K$3:$K$164)</f>
        <v>33525</v>
      </c>
      <c r="H95" s="143">
        <f>+IFERROR(Hoja4!L91,0)</f>
        <v>0.99808745507444807</v>
      </c>
      <c r="I95" s="143">
        <f>+IFERROR(Hoja4!M91,0)</f>
        <v>1.9125449255519426E-3</v>
      </c>
      <c r="J95" s="128"/>
      <c r="K95" s="128"/>
    </row>
    <row r="96" spans="1:11" s="23" customFormat="1" x14ac:dyDescent="0.25">
      <c r="A96" s="72" t="str">
        <f>+Hoja4!B92</f>
        <v>E-203</v>
      </c>
      <c r="B96" s="102" t="str">
        <f>+Hoja4!C92</f>
        <v>MATER P.CONST Y MANT</v>
      </c>
      <c r="C96" s="73">
        <f>SUM(C97:C103)</f>
        <v>922227245</v>
      </c>
      <c r="D96" s="73">
        <f t="shared" ref="D96:G96" si="20">SUM(D97:D103)</f>
        <v>922227245</v>
      </c>
      <c r="E96" s="73">
        <f t="shared" si="20"/>
        <v>34844733.579999998</v>
      </c>
      <c r="F96" s="73">
        <f t="shared" si="20"/>
        <v>761418728.77999997</v>
      </c>
      <c r="G96" s="73">
        <f t="shared" si="20"/>
        <v>125963782.64000002</v>
      </c>
      <c r="H96" s="143">
        <f>+IFERROR(Hoja4!L92,0)</f>
        <v>0.8256302694462252</v>
      </c>
      <c r="I96" s="143">
        <f>+IFERROR(Hoja4!M92,0)</f>
        <v>0.13658649028526587</v>
      </c>
      <c r="J96" s="128"/>
      <c r="K96" s="128"/>
    </row>
    <row r="97" spans="1:11" x14ac:dyDescent="0.25">
      <c r="A97" s="74" t="str">
        <f>+Hoja4!B93</f>
        <v>E-20301</v>
      </c>
      <c r="B97" s="103" t="str">
        <f>+Hoja4!C93</f>
        <v>MATERIALES YPROD MET</v>
      </c>
      <c r="C97" s="100">
        <f>+SUMIF(Hoja4!$B$3:$B$164,$A97,Hoja4!$D$3:$D$164)</f>
        <v>265795119</v>
      </c>
      <c r="D97" s="100">
        <f>+SUMIF(Hoja4!$B$3:$B$164,$A97,Hoja4!$E$3:$E$164)</f>
        <v>265795119</v>
      </c>
      <c r="E97" s="100">
        <f>+SUMIF(Hoja4!$B$3:$B$164,$A97,Hoja4!$F$3:$F$164)</f>
        <v>0</v>
      </c>
      <c r="F97" s="100">
        <f>+SUMIF(Hoja4!$B$3:$B$164,$A97,Hoja4!$J$3:$J$164)</f>
        <v>254983541.74000001</v>
      </c>
      <c r="G97" s="100">
        <f>+SUMIF(Hoja4!$B$3:$B$164,$A97,Hoja4!$K$3:$K$164)</f>
        <v>10811577.26</v>
      </c>
      <c r="H97" s="138">
        <f>+IFERROR(Hoja4!L93,0)</f>
        <v>0.95932364258351943</v>
      </c>
      <c r="I97" s="138">
        <f>+IFERROR(Hoja4!M93,0)</f>
        <v>4.0676357416480624E-2</v>
      </c>
    </row>
    <row r="98" spans="1:11" x14ac:dyDescent="0.25">
      <c r="A98" s="74" t="str">
        <f>+Hoja4!B94</f>
        <v>E-20302</v>
      </c>
      <c r="B98" s="103" t="str">
        <f>+Hoja4!C94</f>
        <v>MAT Y PROD.MIN.Y ASF</v>
      </c>
      <c r="C98" s="100">
        <f>+SUMIF(Hoja4!$B$3:$B$164,$A98,Hoja4!$D$3:$D$164)</f>
        <v>62539000</v>
      </c>
      <c r="D98" s="100">
        <f>+SUMIF(Hoja4!$B$3:$B$164,$A98,Hoja4!$E$3:$E$164)</f>
        <v>62539000</v>
      </c>
      <c r="E98" s="100">
        <f>+SUMIF(Hoja4!$B$3:$B$164,$A98,Hoja4!$F$3:$F$164)</f>
        <v>0</v>
      </c>
      <c r="F98" s="100">
        <f>+SUMIF(Hoja4!$B$3:$B$164,$A98,Hoja4!$J$3:$J$164)</f>
        <v>51009621.899999999</v>
      </c>
      <c r="G98" s="100">
        <f>+SUMIF(Hoja4!$B$3:$B$164,$A98,Hoja4!$K$3:$K$164)</f>
        <v>11529378.1</v>
      </c>
      <c r="H98" s="138">
        <f>+IFERROR(Hoja4!L94,0)</f>
        <v>0.81564498792753315</v>
      </c>
      <c r="I98" s="138">
        <f>+IFERROR(Hoja4!M94,0)</f>
        <v>0.18435501207246677</v>
      </c>
    </row>
    <row r="99" spans="1:11" x14ac:dyDescent="0.25">
      <c r="A99" s="74" t="str">
        <f>+Hoja4!B95</f>
        <v>E-20303</v>
      </c>
      <c r="B99" s="103" t="str">
        <f>+Hoja4!C95</f>
        <v>MADERA Y SUS DERIV</v>
      </c>
      <c r="C99" s="100">
        <f>+SUMIF(Hoja4!$B$3:$B$164,$A99,Hoja4!$D$3:$D$164)</f>
        <v>119762827</v>
      </c>
      <c r="D99" s="100">
        <f>+SUMIF(Hoja4!$B$3:$B$164,$A99,Hoja4!$E$3:$E$164)</f>
        <v>119762827</v>
      </c>
      <c r="E99" s="100">
        <f>+SUMIF(Hoja4!$B$3:$B$164,$A99,Hoja4!$F$3:$F$164)</f>
        <v>0</v>
      </c>
      <c r="F99" s="100">
        <f>+SUMIF(Hoja4!$B$3:$B$164,$A99,Hoja4!$J$3:$J$164)</f>
        <v>111289977</v>
      </c>
      <c r="G99" s="100">
        <f>+SUMIF(Hoja4!$B$3:$B$164,$A99,Hoja4!$K$3:$K$164)</f>
        <v>8472850</v>
      </c>
      <c r="H99" s="138">
        <f>+IFERROR(Hoja4!L95,0)</f>
        <v>0.92925308952501595</v>
      </c>
      <c r="I99" s="138">
        <f>+IFERROR(Hoja4!M95,0)</f>
        <v>7.0746910474984034E-2</v>
      </c>
    </row>
    <row r="100" spans="1:11" x14ac:dyDescent="0.25">
      <c r="A100" s="74" t="str">
        <f>+Hoja4!B96</f>
        <v>E-20304</v>
      </c>
      <c r="B100" s="103" t="str">
        <f>+Hoja4!C96</f>
        <v>MAT.YPROD.ELÉC,TEL.C</v>
      </c>
      <c r="C100" s="100">
        <f>+SUMIF(Hoja4!$B$3:$B$164,$A100,Hoja4!$D$3:$D$164)</f>
        <v>280322339</v>
      </c>
      <c r="D100" s="100">
        <f>+SUMIF(Hoja4!$B$3:$B$164,$A100,Hoja4!$E$3:$E$164)</f>
        <v>280322339</v>
      </c>
      <c r="E100" s="100">
        <f>+SUMIF(Hoja4!$B$3:$B$164,$A100,Hoja4!$F$3:$F$164)</f>
        <v>0</v>
      </c>
      <c r="F100" s="100">
        <f>+SUMIF(Hoja4!$B$3:$B$164,$A100,Hoja4!$J$3:$J$164)</f>
        <v>244080760.99000001</v>
      </c>
      <c r="G100" s="100">
        <f>+SUMIF(Hoja4!$B$3:$B$164,$A100,Hoja4!$K$3:$K$164)</f>
        <v>36241578.010000005</v>
      </c>
      <c r="H100" s="138">
        <f>+IFERROR(Hoja4!L96,0)</f>
        <v>0.87071462752741946</v>
      </c>
      <c r="I100" s="138">
        <f>+IFERROR(Hoja4!M96,0)</f>
        <v>0.1292853724725806</v>
      </c>
    </row>
    <row r="101" spans="1:11" x14ac:dyDescent="0.25">
      <c r="A101" s="74" t="str">
        <f>+Hoja4!B97</f>
        <v>E-20305</v>
      </c>
      <c r="B101" s="103" t="str">
        <f>+Hoja4!C97</f>
        <v>MATER. Y PROD VIDRIO</v>
      </c>
      <c r="C101" s="100">
        <f>+SUMIF(Hoja4!$B$3:$B$164,$A101,Hoja4!$D$3:$D$164)</f>
        <v>2842000</v>
      </c>
      <c r="D101" s="100">
        <f>+SUMIF(Hoja4!$B$3:$B$164,$A101,Hoja4!$E$3:$E$164)</f>
        <v>2842000</v>
      </c>
      <c r="E101" s="100">
        <f>+SUMIF(Hoja4!$B$3:$B$164,$A101,Hoja4!$F$3:$F$164)</f>
        <v>0</v>
      </c>
      <c r="F101" s="100">
        <f>+SUMIF(Hoja4!$B$3:$B$164,$A101,Hoja4!$J$3:$J$164)</f>
        <v>2780760</v>
      </c>
      <c r="G101" s="100">
        <f>+SUMIF(Hoja4!$B$3:$B$164,$A101,Hoja4!$K$3:$K$164)</f>
        <v>61240</v>
      </c>
      <c r="H101" s="138">
        <f>+IFERROR(Hoja4!L97,0)</f>
        <v>0.9784517945109078</v>
      </c>
      <c r="I101" s="138">
        <f>+IFERROR(Hoja4!M97,0)</f>
        <v>2.1548205489092188E-2</v>
      </c>
    </row>
    <row r="102" spans="1:11" x14ac:dyDescent="0.25">
      <c r="A102" s="74" t="str">
        <f>+Hoja4!B98</f>
        <v>E-20306</v>
      </c>
      <c r="B102" s="103" t="str">
        <f>+Hoja4!C98</f>
        <v>MAT. Y PROD PLÁSTICO</v>
      </c>
      <c r="C102" s="100">
        <f>+SUMIF(Hoja4!$B$3:$B$164,$A102,Hoja4!$D$3:$D$164)</f>
        <v>114632000</v>
      </c>
      <c r="D102" s="100">
        <f>+SUMIF(Hoja4!$B$3:$B$164,$A102,Hoja4!$E$3:$E$164)</f>
        <v>114632000</v>
      </c>
      <c r="E102" s="100">
        <f>+SUMIF(Hoja4!$B$3:$B$164,$A102,Hoja4!$F$3:$F$164)</f>
        <v>34844733.579999998</v>
      </c>
      <c r="F102" s="100">
        <f>+SUMIF(Hoja4!$B$3:$B$164,$A102,Hoja4!$J$3:$J$164)</f>
        <v>46018056.799999997</v>
      </c>
      <c r="G102" s="100">
        <f>+SUMIF(Hoja4!$B$3:$B$164,$A102,Hoja4!$K$3:$K$164)</f>
        <v>33769209.620000005</v>
      </c>
      <c r="H102" s="138">
        <f>+IFERROR(Hoja4!L98,0)</f>
        <v>0.40144162886454043</v>
      </c>
      <c r="I102" s="138">
        <f>+IFERROR(Hoja4!M98,0)</f>
        <v>0.29458798258775915</v>
      </c>
    </row>
    <row r="103" spans="1:11" x14ac:dyDescent="0.25">
      <c r="A103" s="74" t="str">
        <f>+Hoja4!B99</f>
        <v>E-20399</v>
      </c>
      <c r="B103" s="103" t="str">
        <f>+Hoja4!C99</f>
        <v>OTR.MAT.YP.USO CONST</v>
      </c>
      <c r="C103" s="100">
        <f>+SUMIF(Hoja4!$B$3:$B$164,$A103,Hoja4!$D$3:$D$164)</f>
        <v>76333960</v>
      </c>
      <c r="D103" s="100">
        <f>+SUMIF(Hoja4!$B$3:$B$164,$A103,Hoja4!$E$3:$E$164)</f>
        <v>76333960</v>
      </c>
      <c r="E103" s="100">
        <f>+SUMIF(Hoja4!$B$3:$B$164,$A103,Hoja4!$F$3:$F$164)</f>
        <v>0</v>
      </c>
      <c r="F103" s="100">
        <f>+SUMIF(Hoja4!$B$3:$B$164,$A103,Hoja4!$J$3:$J$164)</f>
        <v>51256010.350000001</v>
      </c>
      <c r="G103" s="100">
        <f>+SUMIF(Hoja4!$B$3:$B$164,$A103,Hoja4!$K$3:$K$164)</f>
        <v>25077949.649999999</v>
      </c>
      <c r="H103" s="138">
        <f>+IFERROR(Hoja4!L99,0)</f>
        <v>0.67147060561249539</v>
      </c>
      <c r="I103" s="138">
        <f>+IFERROR(Hoja4!M99,0)</f>
        <v>0.32852939438750456</v>
      </c>
    </row>
    <row r="104" spans="1:11" s="23" customFormat="1" x14ac:dyDescent="0.25">
      <c r="A104" s="72" t="str">
        <f>+Hoja4!B100</f>
        <v>E-204</v>
      </c>
      <c r="B104" s="102" t="str">
        <f>+Hoja4!C100</f>
        <v>HERRAM REPUE Y ACCES</v>
      </c>
      <c r="C104" s="73">
        <f>SUM(C105:C106)</f>
        <v>255874378</v>
      </c>
      <c r="D104" s="73">
        <f t="shared" ref="D104:G104" si="21">SUM(D105:D106)</f>
        <v>255874378</v>
      </c>
      <c r="E104" s="73">
        <f t="shared" si="21"/>
        <v>15006602</v>
      </c>
      <c r="F104" s="73">
        <f t="shared" si="21"/>
        <v>216098876.56999999</v>
      </c>
      <c r="G104" s="73">
        <f t="shared" si="21"/>
        <v>24768899.43</v>
      </c>
      <c r="H104" s="143">
        <f>+IFERROR(Hoja4!L100,0)</f>
        <v>0.84455066685105917</v>
      </c>
      <c r="I104" s="143">
        <f>+IFERROR(Hoja4!M100,0)</f>
        <v>9.6801014715119302E-2</v>
      </c>
      <c r="J104" s="128"/>
      <c r="K104" s="128"/>
    </row>
    <row r="105" spans="1:11" x14ac:dyDescent="0.25">
      <c r="A105" s="74" t="str">
        <f>+Hoja4!B101</f>
        <v>E-20401</v>
      </c>
      <c r="B105" s="103" t="str">
        <f>+Hoja4!C101</f>
        <v>HERRAM.E INSTRUMENTO</v>
      </c>
      <c r="C105" s="100">
        <f>+SUMIF(Hoja4!$B$3:$B$164,$A105,Hoja4!$D$3:$D$164)</f>
        <v>90314843</v>
      </c>
      <c r="D105" s="100">
        <f>+SUMIF(Hoja4!$B$3:$B$164,$A105,Hoja4!$E$3:$E$164)</f>
        <v>90314843</v>
      </c>
      <c r="E105" s="100">
        <f>+SUMIF(Hoja4!$B$3:$B$164,$A105,Hoja4!$F$3:$F$164)</f>
        <v>15006602</v>
      </c>
      <c r="F105" s="100">
        <f>+SUMIF(Hoja4!$B$3:$B$164,$A105,Hoja4!$J$3:$J$164)</f>
        <v>60930098.910000004</v>
      </c>
      <c r="G105" s="100">
        <f>+SUMIF(Hoja4!$B$3:$B$164,$A105,Hoja4!$K$3:$K$164)</f>
        <v>14378142.09</v>
      </c>
      <c r="H105" s="138">
        <f>+IFERROR(Hoja4!L101,0)</f>
        <v>0.67464103226088767</v>
      </c>
      <c r="I105" s="138">
        <f>+IFERROR(Hoja4!M101,0)</f>
        <v>0.15920021130967366</v>
      </c>
    </row>
    <row r="106" spans="1:11" x14ac:dyDescent="0.25">
      <c r="A106" s="74" t="str">
        <f>+Hoja4!B102</f>
        <v>E-20402</v>
      </c>
      <c r="B106" s="103" t="str">
        <f>+Hoja4!C102</f>
        <v>REP.Y ACCESORIOS</v>
      </c>
      <c r="C106" s="100">
        <f>+SUMIF(Hoja4!$B$3:$B$164,$A106,Hoja4!$D$3:$D$164)</f>
        <v>165559535</v>
      </c>
      <c r="D106" s="100">
        <f>+SUMIF(Hoja4!$B$3:$B$164,$A106,Hoja4!$E$3:$E$164)</f>
        <v>165559535</v>
      </c>
      <c r="E106" s="100">
        <f>+SUMIF(Hoja4!$B$3:$B$164,$A106,Hoja4!$F$3:$F$164)</f>
        <v>0</v>
      </c>
      <c r="F106" s="100">
        <f>+SUMIF(Hoja4!$B$3:$B$164,$A106,Hoja4!$J$3:$J$164)</f>
        <v>155168777.66</v>
      </c>
      <c r="G106" s="100">
        <f>+SUMIF(Hoja4!$B$3:$B$164,$A106,Hoja4!$K$3:$K$164)</f>
        <v>10390757.34</v>
      </c>
      <c r="H106" s="138">
        <f>+IFERROR(Hoja4!L102,0)</f>
        <v>0.9372385447929652</v>
      </c>
      <c r="I106" s="138">
        <f>+IFERROR(Hoja4!M102,0)</f>
        <v>6.2761455207034744E-2</v>
      </c>
    </row>
    <row r="107" spans="1:11" s="23" customFormat="1" x14ac:dyDescent="0.25">
      <c r="A107" s="72" t="str">
        <f>+Hoja4!B103</f>
        <v>E-299</v>
      </c>
      <c r="B107" s="102" t="str">
        <f>+Hoja4!C103</f>
        <v>ÚTILES MAT Y SUM DIV</v>
      </c>
      <c r="C107" s="73">
        <f>SUM(C108:C115)</f>
        <v>2777119729</v>
      </c>
      <c r="D107" s="73">
        <f t="shared" ref="D107:G107" si="22">SUM(D108:D115)</f>
        <v>2777119729</v>
      </c>
      <c r="E107" s="73">
        <f t="shared" si="22"/>
        <v>62318649.700000003</v>
      </c>
      <c r="F107" s="73">
        <f t="shared" si="22"/>
        <v>2553167104.3700004</v>
      </c>
      <c r="G107" s="73">
        <f t="shared" si="22"/>
        <v>161633974.93000001</v>
      </c>
      <c r="H107" s="143">
        <f>+IFERROR(Hoja4!L103,0)</f>
        <v>0.91935795122861275</v>
      </c>
      <c r="I107" s="143">
        <f>+IFERROR(Hoja4!M103,0)</f>
        <v>5.8202018891062357E-2</v>
      </c>
      <c r="J107" s="128"/>
      <c r="K107" s="128"/>
    </row>
    <row r="108" spans="1:11" x14ac:dyDescent="0.25">
      <c r="A108" s="74" t="str">
        <f>+Hoja4!B104</f>
        <v>E-29901</v>
      </c>
      <c r="B108" s="103" t="str">
        <f>+Hoja4!C104</f>
        <v>ÚT.Y MAT.OF.Y COMP.</v>
      </c>
      <c r="C108" s="100">
        <f>+SUMIF(Hoja4!$B$3:$B$164,$A108,Hoja4!$D$3:$D$164)</f>
        <v>28079013</v>
      </c>
      <c r="D108" s="100">
        <f>+SUMIF(Hoja4!$B$3:$B$164,$A108,Hoja4!$E$3:$E$164)</f>
        <v>28079013</v>
      </c>
      <c r="E108" s="100">
        <f>+SUMIF(Hoja4!$B$3:$B$164,$A108,Hoja4!$F$3:$F$164)</f>
        <v>0</v>
      </c>
      <c r="F108" s="100">
        <f>+SUMIF(Hoja4!$B$3:$B$164,$A108,Hoja4!$J$3:$J$164)</f>
        <v>15712105.800000001</v>
      </c>
      <c r="G108" s="100">
        <f>+SUMIF(Hoja4!$B$3:$B$164,$A108,Hoja4!$K$3:$K$164)</f>
        <v>12366907.199999999</v>
      </c>
      <c r="H108" s="138">
        <f>+IFERROR(Hoja4!L104,0)</f>
        <v>0.55956759591229221</v>
      </c>
      <c r="I108" s="138">
        <f>+IFERROR(Hoja4!M104,0)</f>
        <v>0.44043240408770773</v>
      </c>
    </row>
    <row r="109" spans="1:11" x14ac:dyDescent="0.25">
      <c r="A109" s="74" t="str">
        <f>+Hoja4!B105</f>
        <v>E-29902</v>
      </c>
      <c r="B109" s="103" t="str">
        <f>+Hoja4!C105</f>
        <v>UT.Y MAT.MÉD,H.Y INV</v>
      </c>
      <c r="C109" s="100">
        <f>+SUMIF(Hoja4!$B$3:$B$164,$A109,Hoja4!$D$3:$D$164)</f>
        <v>18629900</v>
      </c>
      <c r="D109" s="100">
        <f>+SUMIF(Hoja4!$B$3:$B$164,$A109,Hoja4!$E$3:$E$164)</f>
        <v>18629900</v>
      </c>
      <c r="E109" s="100">
        <f>+SUMIF(Hoja4!$B$3:$B$164,$A109,Hoja4!$F$3:$F$164)</f>
        <v>7380460.8499999996</v>
      </c>
      <c r="F109" s="100">
        <f>+SUMIF(Hoja4!$B$3:$B$164,$A109,Hoja4!$J$3:$J$164)</f>
        <v>7800909.3700000001</v>
      </c>
      <c r="G109" s="100">
        <f>+SUMIF(Hoja4!$B$3:$B$164,$A109,Hoja4!$K$3:$K$164)</f>
        <v>3448529.7800000003</v>
      </c>
      <c r="H109" s="138">
        <f>+IFERROR(Hoja4!L105,0)</f>
        <v>0.41873060885995095</v>
      </c>
      <c r="I109" s="138">
        <f>+IFERROR(Hoja4!M105,0)</f>
        <v>0.18510726198208258</v>
      </c>
    </row>
    <row r="110" spans="1:11" x14ac:dyDescent="0.25">
      <c r="A110" s="74" t="str">
        <f>+Hoja4!B106</f>
        <v>E-29903</v>
      </c>
      <c r="B110" s="103" t="str">
        <f>+Hoja4!C106</f>
        <v>PROD.PAPEL,CART.EIMP</v>
      </c>
      <c r="C110" s="100">
        <f>+SUMIF(Hoja4!$B$3:$B$164,$A110,Hoja4!$D$3:$D$164)</f>
        <v>258644265</v>
      </c>
      <c r="D110" s="100">
        <f>+SUMIF(Hoja4!$B$3:$B$164,$A110,Hoja4!$E$3:$E$164)</f>
        <v>258644265</v>
      </c>
      <c r="E110" s="100">
        <f>+SUMIF(Hoja4!$B$3:$B$164,$A110,Hoja4!$F$3:$F$164)</f>
        <v>0</v>
      </c>
      <c r="F110" s="100">
        <f>+SUMIF(Hoja4!$B$3:$B$164,$A110,Hoja4!$J$3:$J$164)</f>
        <v>179320408.46000001</v>
      </c>
      <c r="G110" s="100">
        <f>+SUMIF(Hoja4!$B$3:$B$164,$A110,Hoja4!$K$3:$K$164)</f>
        <v>79323856.539999992</v>
      </c>
      <c r="H110" s="138">
        <f>+IFERROR(Hoja4!L106,0)</f>
        <v>0.69330904537937466</v>
      </c>
      <c r="I110" s="138">
        <f>+IFERROR(Hoja4!M106,0)</f>
        <v>0.30669095462062534</v>
      </c>
    </row>
    <row r="111" spans="1:11" x14ac:dyDescent="0.25">
      <c r="A111" s="74" t="str">
        <f>+Hoja4!B107</f>
        <v>E-29904</v>
      </c>
      <c r="B111" s="103" t="str">
        <f>+Hoja4!C107</f>
        <v>TEXTILES Y VESTUARIO</v>
      </c>
      <c r="C111" s="100">
        <f>+SUMIF(Hoja4!$B$3:$B$164,$A111,Hoja4!$D$3:$D$164)</f>
        <v>1043528910</v>
      </c>
      <c r="D111" s="100">
        <f>+SUMIF(Hoja4!$B$3:$B$164,$A111,Hoja4!$E$3:$E$164)</f>
        <v>1043528910</v>
      </c>
      <c r="E111" s="100">
        <f>+SUMIF(Hoja4!$B$3:$B$164,$A111,Hoja4!$F$3:$F$164)</f>
        <v>44671508.850000001</v>
      </c>
      <c r="F111" s="100">
        <f>+SUMIF(Hoja4!$B$3:$B$164,$A111,Hoja4!$J$3:$J$164)</f>
        <v>995884892.78999996</v>
      </c>
      <c r="G111" s="100">
        <f>+SUMIF(Hoja4!$B$3:$B$164,$A111,Hoja4!$K$3:$K$164)</f>
        <v>2972508.36</v>
      </c>
      <c r="H111" s="138">
        <f>+IFERROR(Hoja4!L107,0)</f>
        <v>0.95434336628967942</v>
      </c>
      <c r="I111" s="138">
        <f>+IFERROR(Hoja4!M107,0)</f>
        <v>2.8485155816143129E-3</v>
      </c>
    </row>
    <row r="112" spans="1:11" x14ac:dyDescent="0.25">
      <c r="A112" s="74" t="str">
        <f>+Hoja4!B108</f>
        <v>E-29905</v>
      </c>
      <c r="B112" s="103" t="str">
        <f>+Hoja4!C108</f>
        <v>ÚTILES Y MATER.LIMP</v>
      </c>
      <c r="C112" s="100">
        <f>+SUMIF(Hoja4!$B$3:$B$164,$A112,Hoja4!$D$3:$D$164)</f>
        <v>257353117</v>
      </c>
      <c r="D112" s="100">
        <f>+SUMIF(Hoja4!$B$3:$B$164,$A112,Hoja4!$E$3:$E$164)</f>
        <v>257353117</v>
      </c>
      <c r="E112" s="100">
        <f>+SUMIF(Hoja4!$B$3:$B$164,$A112,Hoja4!$F$3:$F$164)</f>
        <v>0</v>
      </c>
      <c r="F112" s="100">
        <f>+SUMIF(Hoja4!$B$3:$B$164,$A112,Hoja4!$J$3:$J$164)</f>
        <v>246850475.82999998</v>
      </c>
      <c r="G112" s="100">
        <f>+SUMIF(Hoja4!$B$3:$B$164,$A112,Hoja4!$K$3:$K$164)</f>
        <v>10502641.17</v>
      </c>
      <c r="H112" s="138">
        <f>+IFERROR(Hoja4!L108,0)</f>
        <v>0.95918976504955245</v>
      </c>
      <c r="I112" s="138">
        <f>+IFERROR(Hoja4!M108,0)</f>
        <v>4.0810234950447478E-2</v>
      </c>
    </row>
    <row r="113" spans="1:11" x14ac:dyDescent="0.25">
      <c r="A113" s="74" t="str">
        <f>+Hoja4!B109</f>
        <v>E-29906</v>
      </c>
      <c r="B113" s="103" t="str">
        <f>+Hoja4!C109</f>
        <v>ÚTILES YMAT.RESG.SEG</v>
      </c>
      <c r="C113" s="100">
        <f>+SUMIF(Hoja4!$B$3:$B$164,$A113,Hoja4!$D$3:$D$164)</f>
        <v>786549742</v>
      </c>
      <c r="D113" s="100">
        <f>+SUMIF(Hoja4!$B$3:$B$164,$A113,Hoja4!$E$3:$E$164)</f>
        <v>786549742</v>
      </c>
      <c r="E113" s="100">
        <f>+SUMIF(Hoja4!$B$3:$B$164,$A113,Hoja4!$F$3:$F$164)</f>
        <v>0</v>
      </c>
      <c r="F113" s="100">
        <f>+SUMIF(Hoja4!$B$3:$B$164,$A113,Hoja4!$J$3:$J$164)</f>
        <v>773551616.39999998</v>
      </c>
      <c r="G113" s="100">
        <f>+SUMIF(Hoja4!$B$3:$B$164,$A113,Hoja4!$K$3:$K$164)</f>
        <v>12998125.6</v>
      </c>
      <c r="H113" s="138">
        <f>+IFERROR(Hoja4!L109,0)</f>
        <v>0.98347450274797743</v>
      </c>
      <c r="I113" s="138">
        <f>+IFERROR(Hoja4!M109,0)</f>
        <v>1.652549725202249E-2</v>
      </c>
    </row>
    <row r="114" spans="1:11" x14ac:dyDescent="0.25">
      <c r="A114" s="74" t="str">
        <f>+Hoja4!B110</f>
        <v>E-29907</v>
      </c>
      <c r="B114" s="103" t="str">
        <f>+Hoja4!C110</f>
        <v>ÚTILES YMAT.COC.YCOM</v>
      </c>
      <c r="C114" s="100">
        <f>+SUMIF(Hoja4!$B$3:$B$164,$A114,Hoja4!$D$3:$D$164)</f>
        <v>124983000</v>
      </c>
      <c r="D114" s="100">
        <f>+SUMIF(Hoja4!$B$3:$B$164,$A114,Hoja4!$E$3:$E$164)</f>
        <v>124983000</v>
      </c>
      <c r="E114" s="100">
        <f>+SUMIF(Hoja4!$B$3:$B$164,$A114,Hoja4!$F$3:$F$164)</f>
        <v>0</v>
      </c>
      <c r="F114" s="100">
        <f>+SUMIF(Hoja4!$B$3:$B$164,$A114,Hoja4!$J$3:$J$164)</f>
        <v>111035056.66999999</v>
      </c>
      <c r="G114" s="100">
        <f>+SUMIF(Hoja4!$B$3:$B$164,$A114,Hoja4!$K$3:$K$164)</f>
        <v>13947943.33</v>
      </c>
      <c r="H114" s="138">
        <f>+IFERROR(Hoja4!L110,0)</f>
        <v>0.8884012759335268</v>
      </c>
      <c r="I114" s="138">
        <f>+IFERROR(Hoja4!M110,0)</f>
        <v>0.11159872406647305</v>
      </c>
    </row>
    <row r="115" spans="1:11" x14ac:dyDescent="0.25">
      <c r="A115" s="74" t="str">
        <f>+Hoja4!B111</f>
        <v>E-29999</v>
      </c>
      <c r="B115" s="103" t="str">
        <f>+Hoja4!C111</f>
        <v>OTR.UT,MAT Y SUM.DIV</v>
      </c>
      <c r="C115" s="100">
        <f>+SUMIF(Hoja4!$B$3:$B$164,$A115,Hoja4!$D$3:$D$164)</f>
        <v>259351782</v>
      </c>
      <c r="D115" s="100">
        <f>+SUMIF(Hoja4!$B$3:$B$164,$A115,Hoja4!$E$3:$E$164)</f>
        <v>259351782</v>
      </c>
      <c r="E115" s="100">
        <f>+SUMIF(Hoja4!$B$3:$B$164,$A115,Hoja4!$F$3:$F$164)</f>
        <v>10266680</v>
      </c>
      <c r="F115" s="100">
        <f>+SUMIF(Hoja4!$B$3:$B$164,$A115,Hoja4!$J$3:$J$164)</f>
        <v>223011639.05000001</v>
      </c>
      <c r="G115" s="100">
        <f>+SUMIF(Hoja4!$B$3:$B$164,$A115,Hoja4!$K$3:$K$164)</f>
        <v>26073462.950000003</v>
      </c>
      <c r="H115" s="138">
        <f>+IFERROR(Hoja4!L111,0)</f>
        <v>0.85988088198291235</v>
      </c>
      <c r="I115" s="138">
        <f>+IFERROR(Hoja4!M111,0)</f>
        <v>0.10053319375303156</v>
      </c>
    </row>
    <row r="116" spans="1:11" s="113" customFormat="1" x14ac:dyDescent="0.25">
      <c r="A116" s="151" t="str">
        <f>+Hoja4!B112</f>
        <v>E-5</v>
      </c>
      <c r="B116" s="152" t="str">
        <f>+Hoja4!C112</f>
        <v>BIENES DURADEROS</v>
      </c>
      <c r="C116" s="153">
        <f>+C117+C126+C129</f>
        <v>5429424918</v>
      </c>
      <c r="D116" s="153">
        <f t="shared" ref="D116:G116" si="23">+D117+D126+D129</f>
        <v>5429424918</v>
      </c>
      <c r="E116" s="153">
        <f t="shared" si="23"/>
        <v>32933875</v>
      </c>
      <c r="F116" s="153">
        <f t="shared" si="23"/>
        <v>3965210362.79</v>
      </c>
      <c r="G116" s="153">
        <f t="shared" si="23"/>
        <v>1431280680.21</v>
      </c>
      <c r="H116" s="154">
        <f>+IFERROR(Hoja4!L112,0)</f>
        <v>0.73031866591326533</v>
      </c>
      <c r="I116" s="154">
        <f>+IFERROR(Hoja4!M112,0)</f>
        <v>0.26361552131698529</v>
      </c>
      <c r="J116" s="129"/>
      <c r="K116" s="129">
        <f>+C116-Estado!C146</f>
        <v>0</v>
      </c>
    </row>
    <row r="117" spans="1:11" s="23" customFormat="1" x14ac:dyDescent="0.25">
      <c r="A117" s="72" t="str">
        <f>+Hoja4!B113</f>
        <v>E-501</v>
      </c>
      <c r="B117" s="102" t="str">
        <f>+Hoja4!C113</f>
        <v>MAQ, EQUIPO Y MOB</v>
      </c>
      <c r="C117" s="73">
        <f>SUM(C118:C125)</f>
        <v>2172029174</v>
      </c>
      <c r="D117" s="73">
        <f t="shared" ref="D117:G117" si="24">SUM(D118:D125)</f>
        <v>2172029174</v>
      </c>
      <c r="E117" s="73">
        <f t="shared" si="24"/>
        <v>26433875</v>
      </c>
      <c r="F117" s="73">
        <f t="shared" si="24"/>
        <v>1852412988.5100002</v>
      </c>
      <c r="G117" s="73">
        <f t="shared" si="24"/>
        <v>293182310.49000001</v>
      </c>
      <c r="H117" s="143">
        <f>+IFERROR(Hoja4!L113,0)</f>
        <v>0.85284903659862166</v>
      </c>
      <c r="I117" s="143">
        <f>+IFERROR(Hoja4!M113,0)</f>
        <v>0.13498083451157181</v>
      </c>
      <c r="J117" s="128"/>
      <c r="K117" s="128"/>
    </row>
    <row r="118" spans="1:11" x14ac:dyDescent="0.25">
      <c r="A118" s="74" t="str">
        <f>+Hoja4!B114</f>
        <v>E-50101</v>
      </c>
      <c r="B118" s="103" t="str">
        <f>+Hoja4!C114</f>
        <v>MAQ.Y EQ. PRODUCCIÓN</v>
      </c>
      <c r="C118" s="100">
        <f>+SUMIF(Hoja4!$B$3:$B$164,$A118,Hoja4!$D$3:$D$164)</f>
        <v>64479380</v>
      </c>
      <c r="D118" s="100">
        <f>+SUMIF(Hoja4!$B$3:$B$164,$A118,Hoja4!$E$3:$E$164)</f>
        <v>64479380</v>
      </c>
      <c r="E118" s="100">
        <f>+SUMIF(Hoja4!$B$3:$B$164,$A118,Hoja4!$F$3:$F$164)</f>
        <v>0</v>
      </c>
      <c r="F118" s="100">
        <f>+SUMIF(Hoja4!$B$3:$B$164,$A118,Hoja4!$J$3:$J$164)</f>
        <v>53494601.5</v>
      </c>
      <c r="G118" s="100">
        <f>+SUMIF(Hoja4!$B$3:$B$164,$A118,Hoja4!$K$3:$K$164)</f>
        <v>10984778.5</v>
      </c>
      <c r="H118" s="138">
        <f>+IFERROR(Hoja4!L114,0)</f>
        <v>0.82963889386033174</v>
      </c>
      <c r="I118" s="138">
        <f>+IFERROR(Hoja4!M114,0)</f>
        <v>0.17036110613966821</v>
      </c>
    </row>
    <row r="119" spans="1:11" x14ac:dyDescent="0.25">
      <c r="A119" s="74" t="str">
        <f>+Hoja4!B115</f>
        <v>E-50102</v>
      </c>
      <c r="B119" s="103" t="str">
        <f>+Hoja4!C115</f>
        <v>EQUIPO DE TRANSPORTE</v>
      </c>
      <c r="C119" s="100">
        <f>+SUMIF(Hoja4!$B$3:$B$164,$A119,Hoja4!$D$3:$D$164)</f>
        <v>421400000</v>
      </c>
      <c r="D119" s="100">
        <f>+SUMIF(Hoja4!$B$3:$B$164,$A119,Hoja4!$E$3:$E$164)</f>
        <v>421400000</v>
      </c>
      <c r="E119" s="100">
        <f>+SUMIF(Hoja4!$B$3:$B$164,$A119,Hoja4!$F$3:$F$164)</f>
        <v>0</v>
      </c>
      <c r="F119" s="100">
        <f>+SUMIF(Hoja4!$B$3:$B$164,$A119,Hoja4!$J$3:$J$164)</f>
        <v>408450000</v>
      </c>
      <c r="G119" s="100">
        <f>+SUMIF(Hoja4!$B$3:$B$164,$A119,Hoja4!$K$3:$K$164)</f>
        <v>12950000</v>
      </c>
      <c r="H119" s="138">
        <f>+IFERROR(Hoja4!L115,0)</f>
        <v>0.96926910299003322</v>
      </c>
      <c r="I119" s="138">
        <f>+IFERROR(Hoja4!M115,0)</f>
        <v>3.0730897009966777E-2</v>
      </c>
    </row>
    <row r="120" spans="1:11" x14ac:dyDescent="0.25">
      <c r="A120" s="74" t="str">
        <f>+Hoja4!B116</f>
        <v>E-50103</v>
      </c>
      <c r="B120" s="103" t="str">
        <f>+Hoja4!C116</f>
        <v>EQ. DE COMUNICACIÓN</v>
      </c>
      <c r="C120" s="100">
        <f>+SUMIF(Hoja4!$B$3:$B$164,$A120,Hoja4!$D$3:$D$164)</f>
        <v>174995480.05000001</v>
      </c>
      <c r="D120" s="100">
        <f>+SUMIF(Hoja4!$B$3:$B$164,$A120,Hoja4!$E$3:$E$164)</f>
        <v>174995480.05000001</v>
      </c>
      <c r="E120" s="100">
        <f>+SUMIF(Hoja4!$B$3:$B$164,$A120,Hoja4!$F$3:$F$164)</f>
        <v>26433875</v>
      </c>
      <c r="F120" s="100">
        <f>+SUMIF(Hoja4!$B$3:$B$164,$A120,Hoja4!$J$3:$J$164)</f>
        <v>110271750.27</v>
      </c>
      <c r="G120" s="100">
        <f>+SUMIF(Hoja4!$B$3:$B$164,$A120,Hoja4!$K$3:$K$164)</f>
        <v>38289854.780000001</v>
      </c>
      <c r="H120" s="138">
        <f>+IFERROR(Hoja4!L116,0)</f>
        <v>0.63014056270763652</v>
      </c>
      <c r="I120" s="138">
        <f>+IFERROR(Hoja4!M116,0)</f>
        <v>0.21880482152487457</v>
      </c>
    </row>
    <row r="121" spans="1:11" x14ac:dyDescent="0.25">
      <c r="A121" s="74" t="str">
        <f>+Hoja4!B117</f>
        <v>E-50104</v>
      </c>
      <c r="B121" s="103" t="str">
        <f>+Hoja4!C117</f>
        <v>EQUIPO Y MOB. OFIC.</v>
      </c>
      <c r="C121" s="100">
        <f>+SUMIF(Hoja4!$B$3:$B$164,$A121,Hoja4!$D$3:$D$164)</f>
        <v>147369001.94999999</v>
      </c>
      <c r="D121" s="100">
        <f>+SUMIF(Hoja4!$B$3:$B$164,$A121,Hoja4!$E$3:$E$164)</f>
        <v>147369001.94999999</v>
      </c>
      <c r="E121" s="100">
        <f>+SUMIF(Hoja4!$B$3:$B$164,$A121,Hoja4!$F$3:$F$164)</f>
        <v>0</v>
      </c>
      <c r="F121" s="100">
        <f>+SUMIF(Hoja4!$B$3:$B$164,$A121,Hoja4!$J$3:$J$164)</f>
        <v>120655092.44</v>
      </c>
      <c r="G121" s="100">
        <f>+SUMIF(Hoja4!$B$3:$B$164,$A121,Hoja4!$K$3:$K$164)</f>
        <v>26713909.510000002</v>
      </c>
      <c r="H121" s="138">
        <f>+IFERROR(Hoja4!L117,0)</f>
        <v>0.81872775715028856</v>
      </c>
      <c r="I121" s="138">
        <f>+IFERROR(Hoja4!M117,0)</f>
        <v>0.18127224284971147</v>
      </c>
    </row>
    <row r="122" spans="1:11" x14ac:dyDescent="0.25">
      <c r="A122" s="74" t="str">
        <f>+Hoja4!B118</f>
        <v>E-50105</v>
      </c>
      <c r="B122" s="103" t="str">
        <f>+Hoja4!C118</f>
        <v>EQ.Y PROGR. CÓMPUTO</v>
      </c>
      <c r="C122" s="100">
        <f>+SUMIF(Hoja4!$B$3:$B$164,$A122,Hoja4!$D$3:$D$164)</f>
        <v>658919199</v>
      </c>
      <c r="D122" s="100">
        <f>+SUMIF(Hoja4!$B$3:$B$164,$A122,Hoja4!$E$3:$E$164)</f>
        <v>658919199</v>
      </c>
      <c r="E122" s="100">
        <f>+SUMIF(Hoja4!$B$3:$B$164,$A122,Hoja4!$F$3:$F$164)</f>
        <v>0</v>
      </c>
      <c r="F122" s="100">
        <f>+SUMIF(Hoja4!$B$3:$B$164,$A122,Hoja4!$J$3:$J$164)</f>
        <v>536079946.75000006</v>
      </c>
      <c r="G122" s="100">
        <f>+SUMIF(Hoja4!$B$3:$B$164,$A122,Hoja4!$K$3:$K$164)</f>
        <v>122839252.25</v>
      </c>
      <c r="H122" s="138">
        <f>+IFERROR(Hoja4!L118,0)</f>
        <v>0.81357463489237325</v>
      </c>
      <c r="I122" s="138">
        <f>+IFERROR(Hoja4!M118,0)</f>
        <v>0.18642536510762681</v>
      </c>
    </row>
    <row r="123" spans="1:11" x14ac:dyDescent="0.25">
      <c r="A123" s="74" t="str">
        <f>+Hoja4!B119</f>
        <v>E-50106</v>
      </c>
      <c r="B123" s="103" t="str">
        <f>+Hoja4!C119</f>
        <v>EQ.SANIT, LAB. E INV</v>
      </c>
      <c r="C123" s="100">
        <f>+SUMIF(Hoja4!$B$3:$B$164,$A123,Hoja4!$D$3:$D$164)</f>
        <v>61731995</v>
      </c>
      <c r="D123" s="100">
        <f>+SUMIF(Hoja4!$B$3:$B$164,$A123,Hoja4!$E$3:$E$164)</f>
        <v>61731995</v>
      </c>
      <c r="E123" s="100">
        <f>+SUMIF(Hoja4!$B$3:$B$164,$A123,Hoja4!$F$3:$F$164)</f>
        <v>0</v>
      </c>
      <c r="F123" s="100">
        <f>+SUMIF(Hoja4!$B$3:$B$164,$A123,Hoja4!$J$3:$J$164)</f>
        <v>56419099.679999992</v>
      </c>
      <c r="G123" s="100">
        <f>+SUMIF(Hoja4!$B$3:$B$164,$A123,Hoja4!$K$3:$K$164)</f>
        <v>5312895.32</v>
      </c>
      <c r="H123" s="138">
        <f>+IFERROR(Hoja4!L119,0)</f>
        <v>0.91393611497571059</v>
      </c>
      <c r="I123" s="138">
        <f>+IFERROR(Hoja4!M119,0)</f>
        <v>8.6063885024289272E-2</v>
      </c>
    </row>
    <row r="124" spans="1:11" x14ac:dyDescent="0.25">
      <c r="A124" s="74" t="str">
        <f>+Hoja4!B120</f>
        <v>E-50107</v>
      </c>
      <c r="B124" s="103" t="str">
        <f>+Hoja4!C120</f>
        <v>EQ.YMOB.EDUC,DEP.Y R</v>
      </c>
      <c r="C124" s="100">
        <f>+SUMIF(Hoja4!$B$3:$B$164,$A124,Hoja4!$D$3:$D$164)</f>
        <v>5811000</v>
      </c>
      <c r="D124" s="100">
        <f>+SUMIF(Hoja4!$B$3:$B$164,$A124,Hoja4!$E$3:$E$164)</f>
        <v>5811000</v>
      </c>
      <c r="E124" s="100">
        <f>+SUMIF(Hoja4!$B$3:$B$164,$A124,Hoja4!$F$3:$F$164)</f>
        <v>0</v>
      </c>
      <c r="F124" s="100">
        <f>+SUMIF(Hoja4!$B$3:$B$164,$A124,Hoja4!$J$3:$J$164)</f>
        <v>1369925</v>
      </c>
      <c r="G124" s="100">
        <f>+SUMIF(Hoja4!$B$3:$B$164,$A124,Hoja4!$K$3:$K$164)</f>
        <v>4441075</v>
      </c>
      <c r="H124" s="138">
        <f>+IFERROR(Hoja4!L120,0)</f>
        <v>0.23574685940457751</v>
      </c>
      <c r="I124" s="138">
        <f>+IFERROR(Hoja4!M120,0)</f>
        <v>0.76425314059542249</v>
      </c>
    </row>
    <row r="125" spans="1:11" x14ac:dyDescent="0.25">
      <c r="A125" s="74" t="str">
        <f>+Hoja4!B121</f>
        <v>E-50199</v>
      </c>
      <c r="B125" s="103" t="str">
        <f>+Hoja4!C121</f>
        <v>MAQ,EQ Y MOV.DIVERSO</v>
      </c>
      <c r="C125" s="100">
        <f>+SUMIF(Hoja4!$B$3:$B$164,$A125,Hoja4!$D$3:$D$164)</f>
        <v>637323118</v>
      </c>
      <c r="D125" s="100">
        <f>+SUMIF(Hoja4!$B$3:$B$164,$A125,Hoja4!$E$3:$E$164)</f>
        <v>637323118</v>
      </c>
      <c r="E125" s="100">
        <f>+SUMIF(Hoja4!$B$3:$B$164,$A125,Hoja4!$F$3:$F$164)</f>
        <v>0</v>
      </c>
      <c r="F125" s="100">
        <f>+SUMIF(Hoja4!$B$3:$B$164,$A125,Hoja4!$J$3:$J$164)</f>
        <v>565672572.87</v>
      </c>
      <c r="G125" s="100">
        <f>+SUMIF(Hoja4!$B$3:$B$164,$A125,Hoja4!$K$3:$K$164)</f>
        <v>71650545.129999995</v>
      </c>
      <c r="H125" s="138">
        <f>+IFERROR(Hoja4!L121,0)</f>
        <v>0.88757579459090008</v>
      </c>
      <c r="I125" s="138">
        <f>+IFERROR(Hoja4!M121,0)</f>
        <v>0.11242420540909986</v>
      </c>
    </row>
    <row r="126" spans="1:11" s="23" customFormat="1" x14ac:dyDescent="0.25">
      <c r="A126" s="72" t="str">
        <f>+Hoja4!B122</f>
        <v>E-502</v>
      </c>
      <c r="B126" s="102" t="str">
        <f>+Hoja4!C122</f>
        <v>CONST, ADIC YMEJORAS</v>
      </c>
      <c r="C126" s="73">
        <f>SUM(C127:C128)</f>
        <v>2891828160</v>
      </c>
      <c r="D126" s="73">
        <f t="shared" ref="D126:G126" si="25">SUM(D127:D128)</f>
        <v>2891828160</v>
      </c>
      <c r="E126" s="73">
        <f t="shared" si="25"/>
        <v>6500000</v>
      </c>
      <c r="F126" s="73">
        <f t="shared" si="25"/>
        <v>1915551220.0599999</v>
      </c>
      <c r="G126" s="73">
        <f t="shared" si="25"/>
        <v>969776939.94000006</v>
      </c>
      <c r="H126" s="143">
        <f>+IFERROR(Hoja4!L122,0)</f>
        <v>0.6624014685782712</v>
      </c>
      <c r="I126" s="143">
        <f>+IFERROR(Hoja4!M122,0)</f>
        <v>0.3353508183349318</v>
      </c>
      <c r="J126" s="128"/>
      <c r="K126" s="128"/>
    </row>
    <row r="127" spans="1:11" x14ac:dyDescent="0.25">
      <c r="A127" s="74" t="str">
        <f>+Hoja4!B123</f>
        <v>E-50201</v>
      </c>
      <c r="B127" s="103" t="str">
        <f>+Hoja4!C123</f>
        <v>EDIFICIOS</v>
      </c>
      <c r="C127" s="100">
        <f>+SUMIF(Hoja4!$B$3:$B$164,$A127,Hoja4!$D$3:$D$164)</f>
        <v>2828343800</v>
      </c>
      <c r="D127" s="100">
        <f>+SUMIF(Hoja4!$B$3:$B$164,$A127,Hoja4!$E$3:$E$164)</f>
        <v>2828343800</v>
      </c>
      <c r="E127" s="100">
        <f>+SUMIF(Hoja4!$B$3:$B$164,$A127,Hoja4!$F$3:$F$164)</f>
        <v>6500000</v>
      </c>
      <c r="F127" s="100">
        <f>+SUMIF(Hoja4!$B$3:$B$164,$A127,Hoja4!$J$3:$J$164)</f>
        <v>1854916657.0599999</v>
      </c>
      <c r="G127" s="100">
        <f>+SUMIF(Hoja4!$B$3:$B$164,$A127,Hoja4!$K$3:$K$164)</f>
        <v>966927142.94000006</v>
      </c>
      <c r="H127" s="138">
        <f>+IFERROR(Hoja4!L123,0)</f>
        <v>0.65583139399814128</v>
      </c>
      <c r="I127" s="138">
        <f>+IFERROR(Hoja4!M123,0)</f>
        <v>0.34187044125965171</v>
      </c>
    </row>
    <row r="128" spans="1:11" x14ac:dyDescent="0.25">
      <c r="A128" s="74" t="str">
        <f>+Hoja4!B124</f>
        <v>E-50207</v>
      </c>
      <c r="B128" s="103" t="str">
        <f>+Hoja4!C124</f>
        <v>INSTALACIONES</v>
      </c>
      <c r="C128" s="100">
        <f>+SUMIF(Hoja4!$B$3:$B$164,$A128,Hoja4!$D$3:$D$164)</f>
        <v>63484360</v>
      </c>
      <c r="D128" s="100">
        <f>+SUMIF(Hoja4!$B$3:$B$164,$A128,Hoja4!$E$3:$E$164)</f>
        <v>63484360</v>
      </c>
      <c r="E128" s="100">
        <f>+SUMIF(Hoja4!$B$3:$B$164,$A128,Hoja4!$F$3:$F$164)</f>
        <v>0</v>
      </c>
      <c r="F128" s="100">
        <f>+SUMIF(Hoja4!$B$3:$B$164,$A128,Hoja4!$J$3:$J$164)</f>
        <v>60634563</v>
      </c>
      <c r="G128" s="100">
        <f>+SUMIF(Hoja4!$B$3:$B$164,$A128,Hoja4!$K$3:$K$164)</f>
        <v>2849797</v>
      </c>
      <c r="H128" s="138">
        <f>+IFERROR(Hoja4!L124,0)</f>
        <v>0.95511025077672673</v>
      </c>
      <c r="I128" s="138">
        <f>+IFERROR(Hoja4!M124,0)</f>
        <v>4.4889749223273261E-2</v>
      </c>
    </row>
    <row r="129" spans="1:11" s="23" customFormat="1" x14ac:dyDescent="0.25">
      <c r="A129" s="72" t="str">
        <f>+Hoja4!B125</f>
        <v>E-599</v>
      </c>
      <c r="B129" s="102" t="str">
        <f>+Hoja4!C125</f>
        <v>BIENES DURADEROS DIV</v>
      </c>
      <c r="C129" s="73">
        <f>+C130</f>
        <v>365567584</v>
      </c>
      <c r="D129" s="73">
        <f t="shared" ref="D129:G129" si="26">+D130</f>
        <v>365567584</v>
      </c>
      <c r="E129" s="73">
        <f t="shared" si="26"/>
        <v>0</v>
      </c>
      <c r="F129" s="73">
        <f t="shared" si="26"/>
        <v>197246154.21999997</v>
      </c>
      <c r="G129" s="73">
        <f t="shared" si="26"/>
        <v>168321429.78</v>
      </c>
      <c r="H129" s="143">
        <f>+IFERROR(Hoja4!L99,0)</f>
        <v>0.67147060561249539</v>
      </c>
      <c r="I129" s="143">
        <f>+IFERROR(Hoja4!M99,0)</f>
        <v>0.32852939438750456</v>
      </c>
      <c r="J129" s="128"/>
      <c r="K129" s="128"/>
    </row>
    <row r="130" spans="1:11" x14ac:dyDescent="0.25">
      <c r="A130" s="74" t="str">
        <f>+Hoja4!B126</f>
        <v>E-59903</v>
      </c>
      <c r="B130" s="103" t="str">
        <f>+Hoja4!C126</f>
        <v>BIENES INTANGIBLES</v>
      </c>
      <c r="C130" s="100">
        <f>+SUMIF(Hoja4!$B$3:$B$164,$A130,Hoja4!$D$3:$D$164)</f>
        <v>365567584</v>
      </c>
      <c r="D130" s="100">
        <f>+SUMIF(Hoja4!$B$3:$B$164,$A130,Hoja4!$E$3:$E$164)</f>
        <v>365567584</v>
      </c>
      <c r="E130" s="100">
        <f>+SUMIF(Hoja4!$B$3:$B$164,$A130,Hoja4!$F$3:$F$164)</f>
        <v>0</v>
      </c>
      <c r="F130" s="100">
        <f>+SUMIF(Hoja4!$B$3:$B$164,$A130,Hoja4!$J$3:$J$164)</f>
        <v>197246154.21999997</v>
      </c>
      <c r="G130" s="100">
        <f>+SUMIF(Hoja4!$B$3:$B$164,$A130,Hoja4!$K$3:$K$164)</f>
        <v>168321429.78</v>
      </c>
      <c r="H130" s="138">
        <f>+IFERROR(Hoja4!L126,0)</f>
        <v>0.53956139125289615</v>
      </c>
      <c r="I130" s="138">
        <f>+IFERROR(Hoja4!M126,0)</f>
        <v>0.46043860874710379</v>
      </c>
    </row>
    <row r="131" spans="1:11" s="113" customFormat="1" x14ac:dyDescent="0.25">
      <c r="A131" s="151" t="str">
        <f>+Hoja4!B127</f>
        <v>E-6</v>
      </c>
      <c r="B131" s="152" t="str">
        <f>+Hoja4!C127</f>
        <v>TRANSF. CORRIENTES</v>
      </c>
      <c r="C131" s="155">
        <f>+C132+C135+C137+C140+C143</f>
        <v>3621508798.0100002</v>
      </c>
      <c r="D131" s="155">
        <f t="shared" ref="D131:G131" si="27">+D132+D135+D137+D140+D143</f>
        <v>3621508798.0100002</v>
      </c>
      <c r="E131" s="155">
        <f t="shared" si="27"/>
        <v>0</v>
      </c>
      <c r="F131" s="155">
        <f t="shared" si="27"/>
        <v>3252341567.4700003</v>
      </c>
      <c r="G131" s="155">
        <f t="shared" si="27"/>
        <v>369167230.54000002</v>
      </c>
      <c r="H131" s="154">
        <f>+IFERROR(Hoja4!L127,0)</f>
        <v>0.89806258906706082</v>
      </c>
      <c r="I131" s="154">
        <f>+IFERROR(Hoja4!M127,0)</f>
        <v>0.10193741093293918</v>
      </c>
      <c r="J131" s="129"/>
      <c r="K131" s="129">
        <f>+C131-Estado!C161</f>
        <v>0</v>
      </c>
    </row>
    <row r="132" spans="1:11" s="23" customFormat="1" x14ac:dyDescent="0.25">
      <c r="A132" s="72" t="str">
        <f>+Hoja4!B128</f>
        <v>E-601</v>
      </c>
      <c r="B132" s="102" t="str">
        <f>+Hoja4!C128</f>
        <v>TRANSF CTES S. PUB</v>
      </c>
      <c r="C132" s="114">
        <f>SUM(C133:C134)</f>
        <v>1169518300.6700001</v>
      </c>
      <c r="D132" s="114">
        <f t="shared" ref="D132:G132" si="28">SUM(D133:D134)</f>
        <v>1169518300.6700001</v>
      </c>
      <c r="E132" s="114">
        <f t="shared" si="28"/>
        <v>0</v>
      </c>
      <c r="F132" s="114">
        <f t="shared" si="28"/>
        <v>995271304.96000004</v>
      </c>
      <c r="G132" s="114">
        <f t="shared" si="28"/>
        <v>174246995.70999998</v>
      </c>
      <c r="H132" s="143">
        <f>+IFERROR(Hoja4!L128,0)</f>
        <v>0.85100960317578911</v>
      </c>
      <c r="I132" s="143">
        <f>+IFERROR(Hoja4!M128,0)</f>
        <v>0.14899039682421081</v>
      </c>
      <c r="J132" s="128"/>
      <c r="K132" s="128">
        <f>+C132-Estado!C162</f>
        <v>0</v>
      </c>
    </row>
    <row r="133" spans="1:11" s="23" customFormat="1" x14ac:dyDescent="0.25">
      <c r="A133" s="74" t="str">
        <f>+Hoja4!B129</f>
        <v>E-60102</v>
      </c>
      <c r="B133" s="103" t="str">
        <f>+Hoja4!C129</f>
        <v>TRANSF.CTE ORG.DESC</v>
      </c>
      <c r="C133" s="100">
        <f>+SUMIF(Hoja4!$B$3:$B$164,$A133,Hoja4!$D$3:$D$164)</f>
        <v>606798220</v>
      </c>
      <c r="D133" s="100">
        <f>+SUMIF(Hoja4!$B$3:$B$164,$A133,Hoja4!$E$3:$E$164)</f>
        <v>606798220</v>
      </c>
      <c r="E133" s="100">
        <f>+SUMIF(Hoja4!$B$3:$B$164,$A133,Hoja4!$F$3:$F$164)</f>
        <v>0</v>
      </c>
      <c r="F133" s="100">
        <f>+SUMIF(Hoja4!$B$3:$B$164,$A133,Hoja4!$J$3:$J$164)</f>
        <v>464534835</v>
      </c>
      <c r="G133" s="100">
        <f>+SUMIF(Hoja4!$B$3:$B$164,$A133,Hoja4!$K$3:$K$164)</f>
        <v>142263385</v>
      </c>
      <c r="H133" s="138">
        <f>+IFERROR(Hoja4!L129,0)</f>
        <v>0.76555075425237729</v>
      </c>
      <c r="I133" s="138">
        <f>+IFERROR(Hoja4!M129,0)</f>
        <v>0.23444924574762266</v>
      </c>
      <c r="J133" s="128"/>
      <c r="K133" s="128"/>
    </row>
    <row r="134" spans="1:11" x14ac:dyDescent="0.25">
      <c r="A134" s="74" t="str">
        <f>+Hoja4!B130</f>
        <v>E-60103</v>
      </c>
      <c r="B134" s="103" t="str">
        <f>+Hoja4!C130</f>
        <v>TRANSF.CTE I.D.NOE</v>
      </c>
      <c r="C134" s="100">
        <f>+SUMIF(Hoja4!$B$3:$B$164,$A134,Hoja4!$D$3:$D$164)</f>
        <v>562720080.66999996</v>
      </c>
      <c r="D134" s="100">
        <f>+SUMIF(Hoja4!$B$3:$B$164,$A134,Hoja4!$E$3:$E$164)</f>
        <v>562720080.66999996</v>
      </c>
      <c r="E134" s="100">
        <f>+SUMIF(Hoja4!$B$3:$B$164,$A134,Hoja4!$F$3:$F$164)</f>
        <v>0</v>
      </c>
      <c r="F134" s="100">
        <f>+SUMIF(Hoja4!$B$3:$B$164,$A134,Hoja4!$J$3:$J$164)</f>
        <v>530736469.95999998</v>
      </c>
      <c r="G134" s="100">
        <f>+SUMIF(Hoja4!$B$3:$B$164,$A134,Hoja4!$K$3:$K$164)</f>
        <v>31983610.709999993</v>
      </c>
      <c r="H134" s="138">
        <f>+IFERROR(Hoja4!L130,0)</f>
        <v>0.94316248556134896</v>
      </c>
      <c r="I134" s="138">
        <f>+IFERROR(Hoja4!M130,0)</f>
        <v>5.6837514438651024E-2</v>
      </c>
    </row>
    <row r="135" spans="1:11" s="23" customFormat="1" x14ac:dyDescent="0.25">
      <c r="A135" s="72" t="str">
        <f>+Hoja4!B131</f>
        <v>E-602</v>
      </c>
      <c r="B135" s="102" t="str">
        <f>+Hoja4!C131</f>
        <v>TRANSF CTES A PERS</v>
      </c>
      <c r="C135" s="114">
        <f>+C136</f>
        <v>450000000</v>
      </c>
      <c r="D135" s="114">
        <f t="shared" ref="D135:G135" si="29">+D136</f>
        <v>450000000</v>
      </c>
      <c r="E135" s="114">
        <f t="shared" si="29"/>
        <v>0</v>
      </c>
      <c r="F135" s="114">
        <f t="shared" si="29"/>
        <v>450000000</v>
      </c>
      <c r="G135" s="114">
        <f t="shared" si="29"/>
        <v>0</v>
      </c>
      <c r="H135" s="143">
        <f>+IFERROR(Hoja4!L131,0)</f>
        <v>1</v>
      </c>
      <c r="I135" s="143">
        <f>+IFERROR(Hoja4!M131,0)</f>
        <v>0</v>
      </c>
      <c r="J135" s="128"/>
      <c r="K135" s="128">
        <f>+C135-Estado!C179</f>
        <v>0</v>
      </c>
    </row>
    <row r="136" spans="1:11" x14ac:dyDescent="0.25">
      <c r="A136" s="74" t="str">
        <f>+Hoja4!B132</f>
        <v>E-60299</v>
      </c>
      <c r="B136" s="103" t="str">
        <f>+Hoja4!C132</f>
        <v>OTRAS TRANSF. A PERS</v>
      </c>
      <c r="C136" s="100">
        <f>+SUMIF(Hoja4!$B$3:$B$164,$A136,Hoja4!$D$3:$D$164)</f>
        <v>450000000</v>
      </c>
      <c r="D136" s="100">
        <f>+SUMIF(Hoja4!$B$3:$B$164,$A136,Hoja4!$E$3:$E$164)</f>
        <v>450000000</v>
      </c>
      <c r="E136" s="100">
        <f>+SUMIF(Hoja4!$B$3:$B$164,$A136,Hoja4!$F$3:$F$164)</f>
        <v>0</v>
      </c>
      <c r="F136" s="100">
        <f>+SUMIF(Hoja4!$B$3:$B$164,$A136,Hoja4!$J$3:$J$164)</f>
        <v>450000000</v>
      </c>
      <c r="G136" s="100">
        <f>+SUMIF(Hoja4!$B$3:$B$164,$A136,Hoja4!$K$3:$K$164)</f>
        <v>0</v>
      </c>
      <c r="H136" s="138">
        <f>+IFERROR(Hoja4!L132,0)</f>
        <v>1</v>
      </c>
      <c r="I136" s="138">
        <f>+IFERROR(Hoja4!M132,0)</f>
        <v>0</v>
      </c>
    </row>
    <row r="137" spans="1:11" s="23" customFormat="1" x14ac:dyDescent="0.25">
      <c r="A137" s="72" t="str">
        <f>+Hoja4!B133</f>
        <v>E-603</v>
      </c>
      <c r="B137" s="102" t="str">
        <f>+Hoja4!C133</f>
        <v>PRESTACIONES</v>
      </c>
      <c r="C137" s="114">
        <f>SUM(C138:C139)</f>
        <v>1383915017</v>
      </c>
      <c r="D137" s="114">
        <f t="shared" ref="D137:G137" si="30">SUM(D138:D139)</f>
        <v>1383915017</v>
      </c>
      <c r="E137" s="114">
        <f t="shared" si="30"/>
        <v>0</v>
      </c>
      <c r="F137" s="114">
        <f t="shared" si="30"/>
        <v>1215411412.1100001</v>
      </c>
      <c r="G137" s="114">
        <f t="shared" si="30"/>
        <v>168503604.89000002</v>
      </c>
      <c r="H137" s="143">
        <f>+IFERROR(Hoja4!L133,0)</f>
        <v>0.87824136394207519</v>
      </c>
      <c r="I137" s="143">
        <f>+IFERROR(Hoja4!M133,0)</f>
        <v>0.12175863605792495</v>
      </c>
      <c r="J137" s="128"/>
      <c r="K137" s="128">
        <f>+C137-Estado!C181</f>
        <v>0</v>
      </c>
    </row>
    <row r="138" spans="1:11" x14ac:dyDescent="0.25">
      <c r="A138" s="74" t="str">
        <f>+Hoja4!B134</f>
        <v>E-60301</v>
      </c>
      <c r="B138" s="103" t="str">
        <f>+Hoja4!C134</f>
        <v>PRESTACIONES LEGALES</v>
      </c>
      <c r="C138" s="100">
        <f>+SUMIF(Hoja4!$B$3:$B$164,$A138,Hoja4!$D$3:$D$164)</f>
        <v>959915017</v>
      </c>
      <c r="D138" s="100">
        <f>+SUMIF(Hoja4!$B$3:$B$164,$A138,Hoja4!$E$3:$E$164)</f>
        <v>959915017</v>
      </c>
      <c r="E138" s="100">
        <f>+SUMIF(Hoja4!$B$3:$B$164,$A138,Hoja4!$F$3:$F$164)</f>
        <v>0</v>
      </c>
      <c r="F138" s="100">
        <f>+SUMIF(Hoja4!$B$3:$B$164,$A138,Hoja4!$J$3:$J$164)</f>
        <v>852823996.13999999</v>
      </c>
      <c r="G138" s="100">
        <f>+SUMIF(Hoja4!$B$3:$B$164,$A138,Hoja4!$K$3:$K$164)</f>
        <v>107091020.86000001</v>
      </c>
      <c r="H138" s="138">
        <f>+IFERROR(Hoja4!L134,0)</f>
        <v>0.88843697727045767</v>
      </c>
      <c r="I138" s="138">
        <f>+IFERROR(Hoja4!M134,0)</f>
        <v>0.11156302272954233</v>
      </c>
    </row>
    <row r="139" spans="1:11" x14ac:dyDescent="0.25">
      <c r="A139" s="74" t="str">
        <f>+Hoja4!B135</f>
        <v>E-60399</v>
      </c>
      <c r="B139" s="103" t="str">
        <f>+Hoja4!C135</f>
        <v>OTRAS PRESTACIONES</v>
      </c>
      <c r="C139" s="100">
        <f>+SUMIF(Hoja4!$B$3:$B$164,$A139,Hoja4!$D$3:$D$164)</f>
        <v>424000000</v>
      </c>
      <c r="D139" s="100">
        <f>+SUMIF(Hoja4!$B$3:$B$164,$A139,Hoja4!$E$3:$E$164)</f>
        <v>424000000</v>
      </c>
      <c r="E139" s="100">
        <f>+SUMIF(Hoja4!$B$3:$B$164,$A139,Hoja4!$F$3:$F$164)</f>
        <v>0</v>
      </c>
      <c r="F139" s="100">
        <f>+SUMIF(Hoja4!$B$3:$B$164,$A139,Hoja4!$J$3:$J$164)</f>
        <v>362587415.97000003</v>
      </c>
      <c r="G139" s="100">
        <f>+SUMIF(Hoja4!$B$3:$B$164,$A139,Hoja4!$K$3:$K$164)</f>
        <v>61412584.030000001</v>
      </c>
      <c r="H139" s="138">
        <f>+IFERROR(Hoja4!L135,0)</f>
        <v>0.85515899992924538</v>
      </c>
      <c r="I139" s="138">
        <f>+IFERROR(Hoja4!M135,0)</f>
        <v>0.14484100007075473</v>
      </c>
    </row>
    <row r="140" spans="1:11" s="23" customFormat="1" x14ac:dyDescent="0.25">
      <c r="A140" s="72" t="str">
        <f>+Hoja4!B136</f>
        <v>E-606</v>
      </c>
      <c r="B140" s="102" t="str">
        <f>+Hoja4!C136</f>
        <v>OTR.TRANSF.CTE SPRIV</v>
      </c>
      <c r="C140" s="73">
        <f>SUM(C141:C142)</f>
        <v>214843480.34000003</v>
      </c>
      <c r="D140" s="73">
        <f t="shared" ref="D140:G140" si="31">SUM(D141:D142)</f>
        <v>214843480.34000003</v>
      </c>
      <c r="E140" s="73">
        <f t="shared" si="31"/>
        <v>0</v>
      </c>
      <c r="F140" s="73">
        <f t="shared" si="31"/>
        <v>189608102.11000001</v>
      </c>
      <c r="G140" s="73">
        <f t="shared" si="31"/>
        <v>25235378.229999997</v>
      </c>
      <c r="H140" s="143">
        <f>+IFERROR(Hoja4!L143,0)</f>
        <v>0.41104299813816297</v>
      </c>
      <c r="I140" s="143">
        <f>+IFERROR(Hoja4!M143,0)</f>
        <v>0.58895700186183697</v>
      </c>
      <c r="J140" s="128"/>
      <c r="K140" s="128">
        <f>+C140-Estado!C184</f>
        <v>0</v>
      </c>
    </row>
    <row r="141" spans="1:11" x14ac:dyDescent="0.25">
      <c r="A141" s="74" t="str">
        <f>+Hoja4!B137</f>
        <v>E-60601</v>
      </c>
      <c r="B141" s="103" t="str">
        <f>+Hoja4!C137</f>
        <v>INDEMNIZACIONES</v>
      </c>
      <c r="C141" s="100">
        <f>+SUMIF(Hoja4!$B$3:$B$164,$A141,Hoja4!$D$3:$D$164)</f>
        <v>160095437.58000001</v>
      </c>
      <c r="D141" s="100">
        <f>+SUMIF(Hoja4!$B$3:$B$164,$A141,Hoja4!$E$3:$E$164)</f>
        <v>160095437.58000001</v>
      </c>
      <c r="E141" s="100">
        <f>+SUMIF(Hoja4!$B$3:$B$164,$A141,Hoja4!$F$3:$F$164)</f>
        <v>0</v>
      </c>
      <c r="F141" s="100">
        <f>+SUMIF(Hoja4!$B$3:$B$164,$A141,Hoja4!$J$3:$J$164)</f>
        <v>154792743.68000001</v>
      </c>
      <c r="G141" s="100">
        <f>+SUMIF(Hoja4!$B$3:$B$164,$A141,Hoja4!$K$3:$K$164)</f>
        <v>5302693.9000000004</v>
      </c>
      <c r="H141" s="138">
        <f>+IFERROR(Hoja4!L137,0)</f>
        <v>0.96687791994478145</v>
      </c>
      <c r="I141" s="138">
        <f>+IFERROR(Hoja4!M137,0)</f>
        <v>3.3122080055218522E-2</v>
      </c>
    </row>
    <row r="142" spans="1:11" s="23" customFormat="1" x14ac:dyDescent="0.25">
      <c r="A142" s="74" t="str">
        <f>+Hoja4!B138</f>
        <v>E-60602</v>
      </c>
      <c r="B142" s="103" t="str">
        <f>+Hoja4!C138</f>
        <v>REINTEGROS O DEVOL.</v>
      </c>
      <c r="C142" s="100">
        <f>+SUMIF(Hoja4!$B$3:$B$164,$A142,Hoja4!$D$3:$D$164)</f>
        <v>54748042.760000005</v>
      </c>
      <c r="D142" s="100">
        <f>+SUMIF(Hoja4!$B$3:$B$164,$A142,Hoja4!$E$3:$E$164)</f>
        <v>54748042.760000005</v>
      </c>
      <c r="E142" s="100">
        <f>+SUMIF(Hoja4!$B$3:$B$164,$A142,Hoja4!$F$3:$F$164)</f>
        <v>0</v>
      </c>
      <c r="F142" s="100">
        <f>+SUMIF(Hoja4!$B$3:$B$164,$A142,Hoja4!$J$3:$J$164)</f>
        <v>34815358.43</v>
      </c>
      <c r="G142" s="100">
        <f>+SUMIF(Hoja4!$B$3:$B$164,$A142,Hoja4!$K$3:$K$164)</f>
        <v>19932684.329999998</v>
      </c>
      <c r="H142" s="138">
        <f>+IFERROR(Hoja4!L138,0)</f>
        <v>0.63591969091243539</v>
      </c>
      <c r="I142" s="138">
        <f>+IFERROR(Hoja4!M138,0)</f>
        <v>0.36408030908756445</v>
      </c>
      <c r="J142" s="128"/>
      <c r="K142" s="128"/>
    </row>
    <row r="143" spans="1:11" s="23" customFormat="1" x14ac:dyDescent="0.25">
      <c r="A143" s="72" t="str">
        <f>+Hoja4!B139</f>
        <v>E-607</v>
      </c>
      <c r="B143" s="102" t="str">
        <f>+Hoja4!C139</f>
        <v>TRANSF CTES AL S.EXT</v>
      </c>
      <c r="C143" s="73">
        <f>+C144</f>
        <v>403232000</v>
      </c>
      <c r="D143" s="73">
        <f t="shared" ref="D143:G143" si="32">+D144</f>
        <v>403232000</v>
      </c>
      <c r="E143" s="73">
        <f t="shared" si="32"/>
        <v>0</v>
      </c>
      <c r="F143" s="73">
        <f t="shared" si="32"/>
        <v>402050748.29000002</v>
      </c>
      <c r="G143" s="73">
        <f t="shared" si="32"/>
        <v>1181251.71</v>
      </c>
      <c r="H143" s="138">
        <f>+IFERROR(Hoja4!L139,0)</f>
        <v>0.99707054075569401</v>
      </c>
      <c r="I143" s="138">
        <f>+IFERROR(Hoja4!M139,0)</f>
        <v>2.9294592443060074E-3</v>
      </c>
      <c r="J143" s="128"/>
      <c r="K143" s="128">
        <f>+C143-Estado!C187</f>
        <v>0</v>
      </c>
    </row>
    <row r="144" spans="1:11" s="23" customFormat="1" x14ac:dyDescent="0.25">
      <c r="A144" s="74" t="str">
        <f>+Hoja4!B140</f>
        <v>E-60701</v>
      </c>
      <c r="B144" s="103" t="str">
        <f>+Hoja4!C140</f>
        <v>TRANSF.C.TE ORG.INT.</v>
      </c>
      <c r="C144" s="100">
        <f>+SUMIF(Hoja4!$B$3:$B$164,$A144,Hoja4!$D$3:$D$164)</f>
        <v>403232000</v>
      </c>
      <c r="D144" s="100">
        <f>+SUMIF(Hoja4!$B$3:$B$164,$A144,Hoja4!$E$3:$E$164)</f>
        <v>403232000</v>
      </c>
      <c r="E144" s="100">
        <f>+SUMIF(Hoja4!$B$3:$B$164,$A144,Hoja4!$F$3:$F$164)</f>
        <v>0</v>
      </c>
      <c r="F144" s="100">
        <f>+SUMIF(Hoja4!$B$3:$B$164,$A144,Hoja4!$J$3:$J$164)</f>
        <v>402050748.29000002</v>
      </c>
      <c r="G144" s="100">
        <f>+SUMIF(Hoja4!$B$3:$B$164,$A144,Hoja4!$K$3:$K$164)</f>
        <v>1181251.71</v>
      </c>
      <c r="H144" s="138">
        <f>+IFERROR(Hoja4!L140,0)</f>
        <v>0.99707054075569401</v>
      </c>
      <c r="I144" s="138">
        <f>+IFERROR(Hoja4!M140,0)</f>
        <v>2.9294592443060074E-3</v>
      </c>
      <c r="J144" s="128"/>
      <c r="K144" s="128"/>
    </row>
    <row r="145" spans="1:11" s="113" customFormat="1" x14ac:dyDescent="0.25">
      <c r="A145" s="151" t="str">
        <f>+Hoja4!B141</f>
        <v>E-7</v>
      </c>
      <c r="B145" s="152" t="str">
        <f>+Hoja4!C141</f>
        <v>TRANSF. DE CAPITAL</v>
      </c>
      <c r="C145" s="153">
        <f>+C146</f>
        <v>10079203438</v>
      </c>
      <c r="D145" s="153">
        <f t="shared" ref="D145:G146" si="33">+D146</f>
        <v>10079203437.799999</v>
      </c>
      <c r="E145" s="153">
        <f t="shared" si="33"/>
        <v>0</v>
      </c>
      <c r="F145" s="153">
        <f t="shared" si="33"/>
        <v>4142986000</v>
      </c>
      <c r="G145" s="153">
        <f t="shared" si="33"/>
        <v>5936217438</v>
      </c>
      <c r="H145" s="154">
        <f>+IFERROR(Hoja4!L141,0)</f>
        <v>0.41104299813816297</v>
      </c>
      <c r="I145" s="154">
        <f>+IFERROR(Hoja4!M141,0)</f>
        <v>0.58895700186183697</v>
      </c>
      <c r="J145" s="129"/>
      <c r="K145" s="129">
        <f>+C145-Estado!C192</f>
        <v>0</v>
      </c>
    </row>
    <row r="146" spans="1:11" s="23" customFormat="1" x14ac:dyDescent="0.25">
      <c r="A146" s="72" t="str">
        <f>+Hoja4!B142</f>
        <v>E-701</v>
      </c>
      <c r="B146" s="102" t="str">
        <f>+Hoja4!C142</f>
        <v>TRANSF DE CTAL S PUB</v>
      </c>
      <c r="C146" s="73">
        <f>+C147</f>
        <v>10079203438</v>
      </c>
      <c r="D146" s="73">
        <f t="shared" si="33"/>
        <v>10079203437.799999</v>
      </c>
      <c r="E146" s="73">
        <f t="shared" si="33"/>
        <v>0</v>
      </c>
      <c r="F146" s="73">
        <f t="shared" si="33"/>
        <v>4142986000</v>
      </c>
      <c r="G146" s="73">
        <f t="shared" si="33"/>
        <v>5936217438</v>
      </c>
      <c r="H146" s="143">
        <f>+IFERROR(Hoja4!L142,0)</f>
        <v>0.41104299813816297</v>
      </c>
      <c r="I146" s="143">
        <f>+IFERROR(Hoja4!M142,0)</f>
        <v>0.58895700186183697</v>
      </c>
      <c r="J146" s="128"/>
      <c r="K146" s="128"/>
    </row>
    <row r="147" spans="1:11" s="23" customFormat="1" x14ac:dyDescent="0.25">
      <c r="A147" s="74" t="str">
        <f>+Hoja4!B143</f>
        <v>E-70102</v>
      </c>
      <c r="B147" s="103" t="str">
        <f>+Hoja4!C143</f>
        <v>TRANSF.CTAL ORG.DESC</v>
      </c>
      <c r="C147" s="100">
        <f>+SUMIF(Hoja4!$B$3:$B$164,$A147,Hoja4!$D$3:$D$164)</f>
        <v>10079203438</v>
      </c>
      <c r="D147" s="100">
        <f>+SUMIF(Hoja4!$B$3:$B$164,$A147,Hoja4!$E$3:$E$164)</f>
        <v>10079203437.799999</v>
      </c>
      <c r="E147" s="100">
        <f>+SUMIF(Hoja4!$B$3:$B$164,$A147,Hoja4!$F$3:$F$164)</f>
        <v>0</v>
      </c>
      <c r="F147" s="100">
        <f>+SUMIF(Hoja4!$B$3:$B$164,$A147,Hoja4!$J$3:$J$164)</f>
        <v>4142986000</v>
      </c>
      <c r="G147" s="100">
        <f>+SUMIF(Hoja4!$B$3:$B$164,$A147,Hoja4!$K$3:$K$164)</f>
        <v>5936217438</v>
      </c>
      <c r="H147" s="138">
        <f>+IFERROR(Hoja4!L143,0)</f>
        <v>0.41104299813816297</v>
      </c>
      <c r="I147" s="138">
        <f>+IFERROR(Hoja4!M143,0)</f>
        <v>0.58895700186183697</v>
      </c>
      <c r="J147" s="128"/>
      <c r="K147" s="128"/>
    </row>
    <row r="148" spans="1:11" s="113" customFormat="1" x14ac:dyDescent="0.25">
      <c r="A148" s="151" t="str">
        <f>+Hoja4!B144</f>
        <v>E-9</v>
      </c>
      <c r="B148" s="152" t="str">
        <f>+Hoja4!C144</f>
        <v>CUENTAS ESPECIALES</v>
      </c>
      <c r="C148" s="153">
        <f>+C149</f>
        <v>1113822319</v>
      </c>
      <c r="D148" s="153">
        <f t="shared" ref="D148:G149" si="34">+D149</f>
        <v>835050754</v>
      </c>
      <c r="E148" s="153">
        <f t="shared" si="34"/>
        <v>0</v>
      </c>
      <c r="F148" s="153">
        <f t="shared" si="34"/>
        <v>0</v>
      </c>
      <c r="G148" s="153">
        <f t="shared" si="34"/>
        <v>1113822319</v>
      </c>
      <c r="H148" s="154">
        <f>+IFERROR(Hoja4!L144,0)</f>
        <v>0</v>
      </c>
      <c r="I148" s="154">
        <f>+IFERROR(Hoja4!M144,0)</f>
        <v>1</v>
      </c>
      <c r="J148" s="129"/>
      <c r="K148" s="129"/>
    </row>
    <row r="149" spans="1:11" s="23" customFormat="1" x14ac:dyDescent="0.25">
      <c r="A149" s="74" t="str">
        <f>+Hoja4!B145</f>
        <v>E-902</v>
      </c>
      <c r="B149" s="103" t="str">
        <f>+Hoja4!C145</f>
        <v>SUMAS SIN ASIGNACION PRESUPUESTARIA</v>
      </c>
      <c r="C149" s="161">
        <f>+C150</f>
        <v>1113822319</v>
      </c>
      <c r="D149" s="161">
        <f t="shared" si="34"/>
        <v>835050754</v>
      </c>
      <c r="E149" s="161">
        <f t="shared" si="34"/>
        <v>0</v>
      </c>
      <c r="F149" s="161">
        <f t="shared" si="34"/>
        <v>0</v>
      </c>
      <c r="G149" s="161">
        <f t="shared" si="34"/>
        <v>1113822319</v>
      </c>
      <c r="H149" s="138">
        <f>+IFERROR(Hoja4!L145,0)</f>
        <v>0</v>
      </c>
      <c r="I149" s="138">
        <f>+IFERROR(Hoja4!M145,0)</f>
        <v>1</v>
      </c>
      <c r="J149" s="128"/>
      <c r="K149" s="128"/>
    </row>
    <row r="150" spans="1:11" s="23" customFormat="1" x14ac:dyDescent="0.25">
      <c r="A150" s="74" t="str">
        <f>+Hoja4!B146</f>
        <v>E-90201</v>
      </c>
      <c r="B150" s="103" t="str">
        <f>+Hoja4!C146</f>
        <v>SUMAS LIBRES SIN ASIGNACION PRESUPUESTARIA</v>
      </c>
      <c r="C150" s="100">
        <f>+SUMIF(Hoja4!$B$3:$B$164,$A150,Hoja4!$D$3:$D$164)</f>
        <v>1113822319</v>
      </c>
      <c r="D150" s="100">
        <f>+SUMIF(Hoja4!$B$3:$B$164,$A150,Hoja4!$E$3:$E$164)</f>
        <v>835050754</v>
      </c>
      <c r="E150" s="100">
        <f>+SUMIF(Hoja4!$B$3:$B$164,$A150,Hoja4!$F$3:$F$164)</f>
        <v>0</v>
      </c>
      <c r="F150" s="100">
        <f>+SUMIF(Hoja4!$B$3:$B$164,$A150,Hoja4!$J$3:$J$164)</f>
        <v>0</v>
      </c>
      <c r="G150" s="100">
        <f>+SUMIF(Hoja4!$B$3:$B$164,$A150,Hoja4!$K$3:$K$164)</f>
        <v>1113822319</v>
      </c>
      <c r="H150" s="138">
        <f>+IFERROR(Hoja4!L146,0)</f>
        <v>0</v>
      </c>
      <c r="I150" s="138">
        <f>+IFERROR(Hoja4!M146,0)</f>
        <v>1</v>
      </c>
      <c r="J150" s="128"/>
      <c r="K150" s="128"/>
    </row>
    <row r="151" spans="1:11" ht="15.75" thickBot="1" x14ac:dyDescent="0.3">
      <c r="A151" s="77" t="s">
        <v>15</v>
      </c>
      <c r="B151" s="104"/>
      <c r="C151" s="78">
        <f>+C145+C131+C116+C86+C32+C7+C148</f>
        <v>135812180151</v>
      </c>
      <c r="D151" s="78">
        <f t="shared" ref="D151:G151" si="35">+D145+D131+D116+D86+D32+D7+D148</f>
        <v>135533408585.8</v>
      </c>
      <c r="E151" s="78">
        <f t="shared" si="35"/>
        <v>145678860.28</v>
      </c>
      <c r="F151" s="78">
        <f t="shared" si="35"/>
        <v>118874560280.94</v>
      </c>
      <c r="G151" s="78">
        <f t="shared" si="35"/>
        <v>16791941009.779999</v>
      </c>
      <c r="H151" s="162">
        <f>+IFERROR(Hoja4!L147,0)</f>
        <v>0.87528644447627424</v>
      </c>
      <c r="I151" s="162">
        <f>+IFERROR(Hoja4!M147,0)</f>
        <v>0.1236409060741844</v>
      </c>
    </row>
    <row r="152" spans="1:11" x14ac:dyDescent="0.25">
      <c r="A152" s="79"/>
      <c r="B152" s="79"/>
      <c r="C152" s="44">
        <f>+C151-Hoja4!D147</f>
        <v>0</v>
      </c>
      <c r="D152" s="44">
        <f>+D151-Hoja4!E147</f>
        <v>0</v>
      </c>
      <c r="E152" s="44">
        <f>+E151-Hoja4!F147</f>
        <v>0</v>
      </c>
      <c r="F152" s="44">
        <f>SUM(Hoja4!G147:I147)-F151</f>
        <v>0</v>
      </c>
      <c r="G152" s="44">
        <f>+G151-Hoja4!K147</f>
        <v>0</v>
      </c>
      <c r="H152" s="43"/>
      <c r="I152" s="43"/>
    </row>
    <row r="153" spans="1:11" x14ac:dyDescent="0.25">
      <c r="C153" s="25">
        <f>+C151-Estado!C200</f>
        <v>0</v>
      </c>
    </row>
  </sheetData>
  <mergeCells count="11">
    <mergeCell ref="A1:I1"/>
    <mergeCell ref="A2:I2"/>
    <mergeCell ref="A3:I3"/>
    <mergeCell ref="I5:I6"/>
    <mergeCell ref="A5:A6"/>
    <mergeCell ref="C5:C6"/>
    <mergeCell ref="D5:D6"/>
    <mergeCell ref="E5:E6"/>
    <mergeCell ref="G5:G6"/>
    <mergeCell ref="H5:H6"/>
    <mergeCell ref="B5:B6"/>
  </mergeCells>
  <pageMargins left="0.7" right="0.7" top="0.75" bottom="0.75" header="0.3" footer="0.3"/>
  <pageSetup orientation="portrait" verticalDpi="599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zoomScaleNormal="100" workbookViewId="0"/>
  </sheetViews>
  <sheetFormatPr baseColWidth="10" defaultRowHeight="15" x14ac:dyDescent="0.25"/>
  <cols>
    <col min="1" max="1" width="5.7109375" customWidth="1"/>
    <col min="2" max="2" width="18.85546875" bestFit="1" customWidth="1"/>
    <col min="3" max="3" width="18" bestFit="1" customWidth="1"/>
    <col min="4" max="4" width="16.85546875" bestFit="1" customWidth="1"/>
    <col min="5" max="5" width="14.7109375" bestFit="1" customWidth="1"/>
    <col min="6" max="6" width="6.85546875" bestFit="1" customWidth="1"/>
    <col min="7" max="7" width="15.7109375" bestFit="1" customWidth="1"/>
    <col min="8" max="8" width="7.140625" bestFit="1" customWidth="1"/>
    <col min="9" max="9" width="13.28515625" bestFit="1" customWidth="1"/>
    <col min="10" max="10" width="7.5703125" bestFit="1" customWidth="1"/>
    <col min="11" max="11" width="16.85546875" bestFit="1" customWidth="1"/>
    <col min="12" max="12" width="7.28515625" bestFit="1" customWidth="1"/>
    <col min="13" max="13" width="16.85546875" bestFit="1" customWidth="1"/>
    <col min="14" max="14" width="6.7109375" bestFit="1" customWidth="1"/>
    <col min="15" max="15" width="15.7109375" bestFit="1" customWidth="1"/>
    <col min="16" max="16" width="6.7109375" bestFit="1" customWidth="1"/>
    <col min="17" max="17" width="15.7109375" bestFit="1" customWidth="1"/>
    <col min="18" max="18" width="6.7109375" bestFit="1" customWidth="1"/>
    <col min="21" max="21" width="20.28515625" bestFit="1" customWidth="1"/>
    <col min="22" max="22" width="16.85546875" bestFit="1" customWidth="1"/>
    <col min="23" max="23" width="13.28515625" bestFit="1" customWidth="1"/>
    <col min="24" max="24" width="14.7109375" bestFit="1" customWidth="1"/>
    <col min="25" max="25" width="16.85546875" bestFit="1" customWidth="1"/>
    <col min="26" max="26" width="6.42578125" customWidth="1"/>
    <col min="27" max="27" width="15.7109375" bestFit="1" customWidth="1"/>
    <col min="28" max="28" width="6.42578125" customWidth="1"/>
  </cols>
  <sheetData>
    <row r="1" spans="1:28" ht="15.75" x14ac:dyDescent="0.25">
      <c r="A1" s="40" t="str">
        <f>+[1]Consolidado!A5</f>
        <v>214  - Ministerio de Justicia y Gracia</v>
      </c>
      <c r="B1" s="40"/>
      <c r="C1" s="40"/>
    </row>
    <row r="2" spans="1:28" ht="24" x14ac:dyDescent="0.25">
      <c r="A2" s="53" t="s">
        <v>24</v>
      </c>
      <c r="B2" s="53"/>
      <c r="C2" s="53" t="s">
        <v>25</v>
      </c>
      <c r="D2" s="53" t="s">
        <v>26</v>
      </c>
      <c r="E2" s="53" t="s">
        <v>27</v>
      </c>
      <c r="F2" s="53" t="s">
        <v>28</v>
      </c>
      <c r="G2" s="53" t="s">
        <v>29</v>
      </c>
      <c r="H2" s="53" t="s">
        <v>30</v>
      </c>
      <c r="I2" s="53" t="s">
        <v>31</v>
      </c>
      <c r="J2" s="53" t="s">
        <v>32</v>
      </c>
      <c r="K2" s="53" t="s">
        <v>33</v>
      </c>
      <c r="L2" s="53" t="s">
        <v>34</v>
      </c>
      <c r="M2" s="53" t="s">
        <v>35</v>
      </c>
      <c r="N2" s="53" t="s">
        <v>36</v>
      </c>
      <c r="O2" s="53" t="s">
        <v>37</v>
      </c>
      <c r="P2" s="53" t="s">
        <v>38</v>
      </c>
      <c r="Q2" s="53" t="s">
        <v>39</v>
      </c>
      <c r="R2" s="54" t="s">
        <v>40</v>
      </c>
      <c r="U2" s="53" t="s">
        <v>0</v>
      </c>
      <c r="V2" s="53" t="s">
        <v>60</v>
      </c>
      <c r="W2" s="53" t="s">
        <v>27</v>
      </c>
      <c r="X2" s="53" t="s">
        <v>29</v>
      </c>
      <c r="Y2" s="53" t="s">
        <v>33</v>
      </c>
      <c r="Z2" s="53" t="s">
        <v>621</v>
      </c>
      <c r="AA2" s="53" t="s">
        <v>37</v>
      </c>
      <c r="AB2" s="53" t="s">
        <v>622</v>
      </c>
    </row>
    <row r="3" spans="1:28" x14ac:dyDescent="0.25">
      <c r="A3" s="11" t="s">
        <v>41</v>
      </c>
      <c r="B3" s="11"/>
      <c r="C3" s="11" t="s">
        <v>42</v>
      </c>
      <c r="D3" s="11" t="s">
        <v>42</v>
      </c>
      <c r="E3" s="11" t="s">
        <v>42</v>
      </c>
      <c r="F3" s="41"/>
      <c r="G3" s="11" t="s">
        <v>42</v>
      </c>
      <c r="H3" s="11"/>
      <c r="I3" s="11" t="s">
        <v>42</v>
      </c>
      <c r="J3" s="41"/>
      <c r="K3" s="11" t="s">
        <v>42</v>
      </c>
      <c r="L3" s="11"/>
      <c r="M3" s="11" t="s">
        <v>42</v>
      </c>
      <c r="N3" s="11"/>
      <c r="O3" s="11" t="s">
        <v>42</v>
      </c>
      <c r="P3" s="11"/>
      <c r="Q3" s="11" t="s">
        <v>42</v>
      </c>
      <c r="R3" s="13"/>
      <c r="U3" s="11" t="s">
        <v>616</v>
      </c>
      <c r="V3" s="13">
        <v>86418080010.330002</v>
      </c>
      <c r="W3" s="13">
        <v>0</v>
      </c>
      <c r="X3" s="13">
        <v>1970723.45</v>
      </c>
      <c r="Y3" s="13">
        <v>82017714248.119995</v>
      </c>
      <c r="Z3" s="175">
        <f>+Y3/V3</f>
        <v>0.94908049609891809</v>
      </c>
      <c r="AA3" s="13">
        <v>4398395038.7600002</v>
      </c>
      <c r="AB3" s="175">
        <f>+AA3/V3</f>
        <v>5.0896699373953198E-2</v>
      </c>
    </row>
    <row r="4" spans="1:28" x14ac:dyDescent="0.25">
      <c r="A4" s="11" t="s">
        <v>92</v>
      </c>
      <c r="B4" s="11" t="s">
        <v>93</v>
      </c>
      <c r="C4" s="13">
        <f>SUMIF(Estado!$A$9:$A$369,$A4,Estado!$C$9:$C$369)</f>
        <v>86418080010.330002</v>
      </c>
      <c r="D4" s="13">
        <f>SUMIF(Estado!$A$9:$A$369,$A4,Estado!$D$9:$D$369)</f>
        <v>86418080010.330002</v>
      </c>
      <c r="E4" s="13">
        <f>SUMIF(Estado!$A$9:$A$369,$A4,Estado!$E$9:$E$369)</f>
        <v>0</v>
      </c>
      <c r="F4" s="49">
        <f t="shared" ref="F4:F9" si="0">+E4/C4</f>
        <v>0</v>
      </c>
      <c r="G4" s="13">
        <f>SUMIF(Estado!$A$9:$A$369,$A4,Estado!$G$9:$G$369)</f>
        <v>1970723.45</v>
      </c>
      <c r="H4" s="49">
        <f t="shared" ref="H4:H9" si="1">+G4/$C$4</f>
        <v>2.2804527128633604E-5</v>
      </c>
      <c r="I4" s="13">
        <f>SUMIF(Estado!$A$9:$A$369,$A4,Estado!$I$9:$I$369)</f>
        <v>0</v>
      </c>
      <c r="J4" s="49">
        <f t="shared" ref="J4:J8" si="2">+I4/(E4+G4)</f>
        <v>0</v>
      </c>
      <c r="K4" s="13">
        <f>SUMIF(Estado!$A$9:$A$369,$A4,Estado!$K$9:$K$369)</f>
        <v>82017714248.119995</v>
      </c>
      <c r="L4" s="49">
        <f t="shared" ref="L4:L9" si="3">+K4/$C$4</f>
        <v>0.94908049609891809</v>
      </c>
      <c r="M4" s="13">
        <f>SUMIF(Estado!$A$9:$A$369,$A4,Estado!$M$9:$M$369)</f>
        <v>82017714248.119995</v>
      </c>
      <c r="N4" s="49">
        <f t="shared" ref="N4:N9" si="4">+M4/$C$4</f>
        <v>0.94908049609891809</v>
      </c>
      <c r="O4" s="13">
        <f>SUMIF(Estado!$A$9:$A$369,$A4,Estado!$O$9:$O$369)</f>
        <v>4398395038.7600002</v>
      </c>
      <c r="P4" s="49">
        <f t="shared" ref="P4:P9" si="5">+O4/$C$4</f>
        <v>5.0896699373953198E-2</v>
      </c>
      <c r="Q4" s="13">
        <f>SUMIF(Estado!$A$9:$A$369,$A4,Estado!$Q$9:$Q$369)</f>
        <v>4398395038.7600002</v>
      </c>
      <c r="R4" s="49">
        <f>+Q4/$C$4</f>
        <v>5.0896699373953198E-2</v>
      </c>
      <c r="U4" s="11" t="s">
        <v>617</v>
      </c>
      <c r="V4" s="13">
        <v>11993820926</v>
      </c>
      <c r="W4" s="13">
        <v>0</v>
      </c>
      <c r="X4" s="13">
        <v>1951749900.28</v>
      </c>
      <c r="Y4" s="13">
        <v>8936854270.1399994</v>
      </c>
      <c r="Z4" s="175">
        <f t="shared" ref="Z4:Z9" si="6">+Y4/V4</f>
        <v>0.74512153593746255</v>
      </c>
      <c r="AA4" s="13">
        <v>1105216755.5799999</v>
      </c>
      <c r="AB4" s="175">
        <f t="shared" ref="AB4:AB9" si="7">+AA4/V4</f>
        <v>9.2148845843123259E-2</v>
      </c>
    </row>
    <row r="5" spans="1:28" x14ac:dyDescent="0.25">
      <c r="A5" s="11" t="s">
        <v>126</v>
      </c>
      <c r="B5" s="11" t="s">
        <v>127</v>
      </c>
      <c r="C5" s="13">
        <f>SUMIF(Estado!$A$9:$A$369,$A5,Estado!$C$9:$C$369)</f>
        <v>11993820926</v>
      </c>
      <c r="D5" s="13">
        <f>SUMIF(Estado!$A$9:$A$369,$A5,Estado!$D$9:$D$369)</f>
        <v>11993820926</v>
      </c>
      <c r="E5" s="13">
        <f>SUMIF(Estado!$A$9:$A$369,$A5,Estado!$E$9:$E$369)</f>
        <v>0</v>
      </c>
      <c r="F5" s="49">
        <f t="shared" si="0"/>
        <v>0</v>
      </c>
      <c r="G5" s="13">
        <f>SUMIF(Estado!$A$9:$A$369,$A5,Estado!$G$9:$G$369)</f>
        <v>1951749900.28</v>
      </c>
      <c r="H5" s="49">
        <f t="shared" si="1"/>
        <v>2.2584971802737309E-2</v>
      </c>
      <c r="I5" s="13">
        <f>SUMIF(Estado!$A$9:$A$369,$A5,Estado!$I$9:$I$369)</f>
        <v>0</v>
      </c>
      <c r="J5" s="49">
        <f t="shared" si="2"/>
        <v>0</v>
      </c>
      <c r="K5" s="13">
        <f>SUMIF(Estado!$A$9:$A$369,$A5,Estado!$K$9:$K$369)</f>
        <v>8936854270.1399994</v>
      </c>
      <c r="L5" s="49">
        <f t="shared" si="3"/>
        <v>0.10341417292621788</v>
      </c>
      <c r="M5" s="13">
        <f>SUMIF(Estado!$A$9:$A$369,$A5,Estado!$M$9:$M$369)</f>
        <v>7918068135.21</v>
      </c>
      <c r="N5" s="49">
        <f t="shared" si="4"/>
        <v>9.1625133701923392E-2</v>
      </c>
      <c r="O5" s="13">
        <f>SUMIF(Estado!$A$9:$A$369,$A5,Estado!$O$9:$O$369)</f>
        <v>1105216755.5799999</v>
      </c>
      <c r="P5" s="49">
        <f t="shared" si="5"/>
        <v>1.2789184340220097E-2</v>
      </c>
      <c r="Q5" s="13">
        <f>SUMIF(Estado!$A$9:$A$369,$A5,Estado!$Q$9:$Q$369)</f>
        <v>1105216755.5799999</v>
      </c>
      <c r="R5" s="49">
        <f>+Q5/$C$5</f>
        <v>9.2148845843123259E-2</v>
      </c>
      <c r="U5" s="11" t="s">
        <v>618</v>
      </c>
      <c r="V5" s="13">
        <v>17156319741.66</v>
      </c>
      <c r="W5" s="13">
        <v>112744985.28</v>
      </c>
      <c r="X5" s="13">
        <v>2067001096.8799999</v>
      </c>
      <c r="Y5" s="13">
        <v>12538732111.809999</v>
      </c>
      <c r="Z5" s="175">
        <f t="shared" si="6"/>
        <v>0.73085208836267501</v>
      </c>
      <c r="AA5" s="13">
        <v>2437841547.6900001</v>
      </c>
      <c r="AB5" s="175">
        <f t="shared" si="7"/>
        <v>0.1420958331623004</v>
      </c>
    </row>
    <row r="6" spans="1:28" x14ac:dyDescent="0.25">
      <c r="A6" s="11" t="s">
        <v>204</v>
      </c>
      <c r="B6" s="11" t="s">
        <v>484</v>
      </c>
      <c r="C6" s="13">
        <f>SUMIF(Estado!$A$9:$A$369,$A6,Estado!$C$9:$C$369)</f>
        <v>17156319741.66</v>
      </c>
      <c r="D6" s="13">
        <f>SUMIF(Estado!$A$9:$A$369,$A6,Estado!$D$9:$D$369)</f>
        <v>17156319741.66</v>
      </c>
      <c r="E6" s="13">
        <f>SUMIF(Estado!$A$9:$A$369,$A6,Estado!$E$9:$E$369)</f>
        <v>112744985.28</v>
      </c>
      <c r="F6" s="49">
        <f t="shared" si="0"/>
        <v>6.5716299869502835E-3</v>
      </c>
      <c r="G6" s="13">
        <f>SUMIF(Estado!$A$9:$A$369,$A6,Estado!$G$9:$G$369)</f>
        <v>2067001096.8799999</v>
      </c>
      <c r="H6" s="49">
        <f t="shared" si="1"/>
        <v>2.391861861120868E-2</v>
      </c>
      <c r="I6" s="13">
        <f>SUMIF(Estado!$A$9:$A$369,$A6,Estado!$I$9:$I$369)</f>
        <v>0</v>
      </c>
      <c r="J6" s="49">
        <f t="shared" si="2"/>
        <v>0</v>
      </c>
      <c r="K6" s="13">
        <f>SUMIF(Estado!$A$9:$A$369,$A6,Estado!$K$9:$K$369)</f>
        <v>12538732111.809999</v>
      </c>
      <c r="L6" s="49">
        <f t="shared" si="3"/>
        <v>0.14509385200771852</v>
      </c>
      <c r="M6" s="13">
        <f>SUMIF(Estado!$A$9:$A$369,$A6,Estado!$M$9:$M$369)</f>
        <v>11264633672.77</v>
      </c>
      <c r="N6" s="49">
        <f t="shared" si="4"/>
        <v>0.13035042749646231</v>
      </c>
      <c r="O6" s="13">
        <f>SUMIF(Estado!$A$9:$A$369,$A6,Estado!$O$9:$O$369)</f>
        <v>2437841547.6900001</v>
      </c>
      <c r="P6" s="49">
        <f t="shared" si="5"/>
        <v>2.8209855476985745E-2</v>
      </c>
      <c r="Q6" s="13">
        <f>SUMIF(Estado!$A$9:$A$369,$A6,Estado!$Q$9:$Q$369)</f>
        <v>2437841547.6900001</v>
      </c>
      <c r="R6" s="49">
        <f>+Q6/$C$6</f>
        <v>0.1420958331623004</v>
      </c>
      <c r="U6" s="11" t="s">
        <v>619</v>
      </c>
      <c r="V6" s="13">
        <v>5429424918</v>
      </c>
      <c r="W6" s="13">
        <v>32933875</v>
      </c>
      <c r="X6" s="13">
        <v>1071287577.52</v>
      </c>
      <c r="Y6" s="13">
        <v>2893922785.27</v>
      </c>
      <c r="Z6" s="175">
        <f t="shared" si="6"/>
        <v>0.53300723906796643</v>
      </c>
      <c r="AA6" s="13">
        <v>1431280680.21</v>
      </c>
      <c r="AB6" s="175">
        <f t="shared" si="7"/>
        <v>0.26361552131698529</v>
      </c>
    </row>
    <row r="7" spans="1:28" x14ac:dyDescent="0.25">
      <c r="A7" s="11" t="s">
        <v>286</v>
      </c>
      <c r="B7" s="11" t="s">
        <v>287</v>
      </c>
      <c r="C7" s="13">
        <f>SUMIF(Estado!$A$9:$A$369,$A7,Estado!$C$9:$C$369)</f>
        <v>5429424918</v>
      </c>
      <c r="D7" s="13">
        <f>SUMIF(Estado!$A$9:$A$369,$A7,Estado!$D$9:$D$369)</f>
        <v>5429424918</v>
      </c>
      <c r="E7" s="13">
        <f>SUMIF(Estado!$A$9:$A$369,$A7,Estado!$E$9:$E$369)</f>
        <v>32933875</v>
      </c>
      <c r="F7" s="49">
        <f t="shared" si="0"/>
        <v>6.0658127697494017E-3</v>
      </c>
      <c r="G7" s="13">
        <f>SUMIF(Estado!$A$9:$A$369,$A7,Estado!$G$9:$G$369)</f>
        <v>1071287577.52</v>
      </c>
      <c r="H7" s="49">
        <f t="shared" si="1"/>
        <v>1.2396567678799892E-2</v>
      </c>
      <c r="I7" s="13">
        <f>SUMIF(Estado!$A$9:$A$369,$A7,Estado!$I$9:$I$369)</f>
        <v>0</v>
      </c>
      <c r="J7" s="49">
        <f t="shared" si="2"/>
        <v>0</v>
      </c>
      <c r="K7" s="13">
        <f>SUMIF(Estado!$A$9:$A$369,$A7,Estado!$K$9:$K$369)</f>
        <v>2893922785.27</v>
      </c>
      <c r="L7" s="49">
        <f t="shared" si="3"/>
        <v>3.3487469114380629E-2</v>
      </c>
      <c r="M7" s="13">
        <f>SUMIF(Estado!$A$9:$A$369,$A7,Estado!$M$9:$M$369)</f>
        <v>1639471606.55</v>
      </c>
      <c r="N7" s="49">
        <f t="shared" si="4"/>
        <v>1.8971395874034985E-2</v>
      </c>
      <c r="O7" s="13">
        <f>SUMIF(Estado!$A$9:$A$369,$A7,Estado!$O$9:$O$369)</f>
        <v>1431280680.21</v>
      </c>
      <c r="P7" s="49">
        <f t="shared" si="5"/>
        <v>1.6562282800530997E-2</v>
      </c>
      <c r="Q7" s="13">
        <f>SUMIF(Estado!$A$9:$A$369,$A7,Estado!$Q$9:$Q$369)</f>
        <v>1431280680.21</v>
      </c>
      <c r="R7" s="49">
        <f>+Q7/$C$7</f>
        <v>0.26361552131698529</v>
      </c>
      <c r="U7" s="11" t="s">
        <v>620</v>
      </c>
      <c r="V7" s="13">
        <v>3621508798.0100002</v>
      </c>
      <c r="W7" s="13">
        <v>0</v>
      </c>
      <c r="X7" s="13">
        <v>148548737.99000001</v>
      </c>
      <c r="Y7" s="13">
        <v>3103792829.48</v>
      </c>
      <c r="Z7" s="175">
        <f t="shared" si="6"/>
        <v>0.85704412237946725</v>
      </c>
      <c r="AA7" s="13">
        <v>369167230.54000002</v>
      </c>
      <c r="AB7" s="175">
        <f t="shared" si="7"/>
        <v>0.10193741093293918</v>
      </c>
    </row>
    <row r="8" spans="1:28" x14ac:dyDescent="0.25">
      <c r="A8" s="11" t="s">
        <v>256</v>
      </c>
      <c r="B8" s="11" t="s">
        <v>523</v>
      </c>
      <c r="C8" s="13">
        <f>SUMIF(Estado!$A$9:$A$369,$A8,Estado!$C$9:$C$369)</f>
        <v>3621508798.0100002</v>
      </c>
      <c r="D8" s="13">
        <f>SUMIF(Estado!$A$9:$A$369,$A8,Estado!$D$9:$D$369)</f>
        <v>3621508798.0100002</v>
      </c>
      <c r="E8" s="13">
        <f>SUMIF(Estado!$A$9:$A$369,$A8,Estado!$E$9:$E$369)</f>
        <v>0</v>
      </c>
      <c r="F8" s="49">
        <f t="shared" si="0"/>
        <v>0</v>
      </c>
      <c r="G8" s="13">
        <f>SUMIF(Estado!$A$9:$A$369,$A8,Estado!$G$9:$G$369)</f>
        <v>148548737.99000001</v>
      </c>
      <c r="H8" s="49">
        <f t="shared" si="1"/>
        <v>1.7189543897786575E-3</v>
      </c>
      <c r="I8" s="13">
        <f>SUMIF(Estado!$A$9:$A$369,$A8,Estado!$I$9:$I$369)</f>
        <v>0</v>
      </c>
      <c r="J8" s="49">
        <f t="shared" si="2"/>
        <v>0</v>
      </c>
      <c r="K8" s="13">
        <f>SUMIF(Estado!$A$9:$A$369,$A8,Estado!$K$9:$K$369)</f>
        <v>3103792829.48</v>
      </c>
      <c r="L8" s="49">
        <f t="shared" si="3"/>
        <v>3.5916012356546081E-2</v>
      </c>
      <c r="M8" s="13">
        <f>SUMIF(Estado!$A$9:$A$369,$A8,Estado!$M$9:$M$369)</f>
        <v>3101694003.0100002</v>
      </c>
      <c r="N8" s="49">
        <f t="shared" si="4"/>
        <v>3.589172546577335E-2</v>
      </c>
      <c r="O8" s="13">
        <f>SUMIF(Estado!$A$9:$A$369,$A8,Estado!$O$9:$O$369)</f>
        <v>369167230.54000002</v>
      </c>
      <c r="P8" s="49">
        <f t="shared" si="5"/>
        <v>4.2718749420939638E-3</v>
      </c>
      <c r="Q8" s="13">
        <f>SUMIF(Estado!$A$9:$A$369,$A8,Estado!$Q$9:$Q$369)</f>
        <v>369167230.54000002</v>
      </c>
      <c r="R8" s="49">
        <f>+Q8/$C$8</f>
        <v>0.10193741093293918</v>
      </c>
      <c r="U8" s="11" t="s">
        <v>14</v>
      </c>
      <c r="V8" s="13">
        <v>10079203438</v>
      </c>
      <c r="W8" s="13">
        <v>0</v>
      </c>
      <c r="X8" s="13">
        <v>0</v>
      </c>
      <c r="Y8" s="13">
        <v>4142986000</v>
      </c>
      <c r="Z8" s="175">
        <f t="shared" si="6"/>
        <v>0.41104299813816297</v>
      </c>
      <c r="AA8" s="13">
        <v>5936217438</v>
      </c>
      <c r="AB8" s="175">
        <f t="shared" si="7"/>
        <v>0.58895700186183697</v>
      </c>
    </row>
    <row r="9" spans="1:28" x14ac:dyDescent="0.25">
      <c r="A9" s="11" t="s">
        <v>389</v>
      </c>
      <c r="B9" s="11" t="s">
        <v>541</v>
      </c>
      <c r="C9" s="13">
        <f>SUMIF(Estado!$A$9:$A$369,$A9,Estado!$C$9:$C$369)</f>
        <v>10079203438</v>
      </c>
      <c r="D9" s="13">
        <f>SUMIF(Estado!$A$9:$A$369,$A9,Estado!$D$9:$D$369)</f>
        <v>10079203437.799999</v>
      </c>
      <c r="E9" s="13">
        <f>SUMIF(Estado!$A$9:$A$369,$A9,Estado!$E$9:$E$369)</f>
        <v>0</v>
      </c>
      <c r="F9" s="49">
        <f t="shared" si="0"/>
        <v>0</v>
      </c>
      <c r="G9" s="13">
        <f>SUMIF(Estado!$A$9:$A$369,$A9,Estado!$G$9:$G$369)</f>
        <v>0</v>
      </c>
      <c r="H9" s="49">
        <f t="shared" si="1"/>
        <v>0</v>
      </c>
      <c r="I9" s="13">
        <f>SUMIF(Estado!$A$9:$A$369,$A9,Estado!$I$9:$I$369)</f>
        <v>0</v>
      </c>
      <c r="J9" s="49">
        <v>0</v>
      </c>
      <c r="K9" s="13">
        <f>SUMIF(Estado!$A$9:$A$369,$A9,Estado!$K$9:$K$369)</f>
        <v>4142986000</v>
      </c>
      <c r="L9" s="49">
        <f t="shared" si="3"/>
        <v>4.7941194707227554E-2</v>
      </c>
      <c r="M9" s="13">
        <f>SUMIF(Estado!$A$9:$A$369,$A9,Estado!$M$9:$M$369)</f>
        <v>4142986000</v>
      </c>
      <c r="N9" s="49">
        <f t="shared" si="4"/>
        <v>4.7941194707227554E-2</v>
      </c>
      <c r="O9" s="13">
        <f>SUMIF(Estado!$A$9:$A$369,$A9,Estado!$O$9:$O$369)</f>
        <v>5936217438</v>
      </c>
      <c r="P9" s="49">
        <f t="shared" si="5"/>
        <v>6.869184593421207E-2</v>
      </c>
      <c r="Q9" s="13">
        <f>SUMIF(Estado!$A$9:$A$369,$A9,Estado!$Q$9:$Q$369)</f>
        <v>5936217437.8000002</v>
      </c>
      <c r="R9" s="49">
        <f>+Q9/$C$9</f>
        <v>0.58895700184199418</v>
      </c>
      <c r="U9" s="11" t="s">
        <v>606</v>
      </c>
      <c r="V9" s="13">
        <v>1113822319</v>
      </c>
      <c r="W9" s="13">
        <v>0</v>
      </c>
      <c r="X9" s="13">
        <v>0</v>
      </c>
      <c r="Y9" s="13">
        <v>0</v>
      </c>
      <c r="Z9" s="175">
        <f t="shared" si="6"/>
        <v>0</v>
      </c>
      <c r="AA9" s="13">
        <v>1113822319</v>
      </c>
      <c r="AB9" s="175">
        <f t="shared" si="7"/>
        <v>1</v>
      </c>
    </row>
    <row r="10" spans="1:28" x14ac:dyDescent="0.25">
      <c r="A10" s="11" t="s">
        <v>602</v>
      </c>
      <c r="B10" s="11" t="s">
        <v>603</v>
      </c>
      <c r="C10" s="13">
        <f>SUMIF(Estado!$A$9:$A$369,$A10,Estado!$C$9:$C$369)</f>
        <v>1113822319</v>
      </c>
      <c r="D10" s="13">
        <f>SUMIF(Estado!$A$9:$A$369,$A10,Estado!$D$9:$D$369)</f>
        <v>835050754</v>
      </c>
      <c r="E10" s="13">
        <f>SUMIF(Estado!$A$9:$A$369,$A10,Estado!$E$9:$E$369)</f>
        <v>0</v>
      </c>
      <c r="F10" s="49">
        <f t="shared" ref="F10" si="8">+E10/C10</f>
        <v>0</v>
      </c>
      <c r="G10" s="13">
        <f>SUMIF(Estado!$A$9:$A$369,$A10,Estado!$G$9:$G$369)</f>
        <v>0</v>
      </c>
      <c r="H10" s="49">
        <f t="shared" ref="H10" si="9">+G10/$C$4</f>
        <v>0</v>
      </c>
      <c r="I10" s="13">
        <f>SUMIF(Estado!$A$9:$A$369,$A10,Estado!$I$9:$I$369)</f>
        <v>0</v>
      </c>
      <c r="J10" s="49">
        <v>0</v>
      </c>
      <c r="K10" s="13">
        <f>SUMIF(Estado!$A$9:$A$369,$A10,Estado!$K$9:$K$369)</f>
        <v>0</v>
      </c>
      <c r="L10" s="49">
        <f t="shared" ref="L10" si="10">+K10/$C$4</f>
        <v>0</v>
      </c>
      <c r="M10" s="13">
        <f>SUMIF(Estado!$A$9:$A$369,$A10,Estado!$M$9:$M$369)</f>
        <v>0</v>
      </c>
      <c r="N10" s="49">
        <f t="shared" ref="N10" si="11">+M10/$C$4</f>
        <v>0</v>
      </c>
      <c r="O10" s="13">
        <f>SUMIF(Estado!$A$9:$A$369,$A10,Estado!$O$9:$O$369)</f>
        <v>1113822319</v>
      </c>
      <c r="P10" s="49">
        <f t="shared" ref="P10" si="12">+O10/$C$4</f>
        <v>1.2888764930519853E-2</v>
      </c>
      <c r="Q10" s="13">
        <f>SUMIF(Estado!$A$9:$A$369,$A10,Estado!$Q$9:$Q$369)</f>
        <v>835050754</v>
      </c>
      <c r="R10" s="49">
        <f>+Q10/$C$9</f>
        <v>8.2848883757196762E-2</v>
      </c>
      <c r="U10" s="55" t="s">
        <v>15</v>
      </c>
      <c r="V10" s="56">
        <f>SUM(V3:V9)</f>
        <v>135812180151</v>
      </c>
      <c r="W10" s="56">
        <f>SUM(W3:W9)</f>
        <v>145678860.28</v>
      </c>
      <c r="X10" s="56">
        <f>SUM(X3:X9)</f>
        <v>5240558036.1199989</v>
      </c>
      <c r="Y10" s="56">
        <f>SUM(Y3:Y9)</f>
        <v>113634002244.81999</v>
      </c>
      <c r="Z10" s="140">
        <f>+Y10/V10</f>
        <v>0.83669964003580788</v>
      </c>
      <c r="AA10" s="56">
        <f>SUM(AA3:AA9)</f>
        <v>16791941009.780003</v>
      </c>
      <c r="AB10" s="140">
        <f>+AA10/V10</f>
        <v>0.1236409060741844</v>
      </c>
    </row>
    <row r="11" spans="1:28" x14ac:dyDescent="0.25">
      <c r="A11" s="55" t="s">
        <v>58</v>
      </c>
      <c r="B11" s="55"/>
      <c r="C11" s="56">
        <f>SUM(C4:C10)</f>
        <v>135812180151</v>
      </c>
      <c r="D11" s="56">
        <f>SUM(D4:D10)</f>
        <v>135533408585.8</v>
      </c>
      <c r="E11" s="56">
        <f>SUM(E4:E10)</f>
        <v>145678860.28</v>
      </c>
      <c r="F11" s="57">
        <f t="shared" ref="F11" si="13">+E11/C11</f>
        <v>1.0726494495414912E-3</v>
      </c>
      <c r="G11" s="56">
        <f>SUM(G4:G10)</f>
        <v>5240558036.1199989</v>
      </c>
      <c r="H11" s="57">
        <f>+G11/$C$11</f>
        <v>3.8586804440466173E-2</v>
      </c>
      <c r="I11" s="56">
        <f>SUM(I4:I10)</f>
        <v>0</v>
      </c>
      <c r="J11" s="57">
        <f t="shared" ref="J11" si="14">+I11/(E11+G11)</f>
        <v>0</v>
      </c>
      <c r="K11" s="56">
        <f>SUM(K4:K10)</f>
        <v>113634002244.81999</v>
      </c>
      <c r="L11" s="57">
        <f>+K11/$C$11</f>
        <v>0.83669964003580788</v>
      </c>
      <c r="M11" s="56">
        <f>SUM(M4:M10)</f>
        <v>110084567665.66</v>
      </c>
      <c r="N11" s="57">
        <f>+M11/$C$11</f>
        <v>0.81056476336117078</v>
      </c>
      <c r="O11" s="56">
        <f>SUM(O4:O10)</f>
        <v>16791941009.780003</v>
      </c>
      <c r="P11" s="57">
        <f>+O11/$C$11</f>
        <v>0.1236409060741844</v>
      </c>
      <c r="Q11" s="56">
        <f>SUM(Q4:Q10)</f>
        <v>16513169444.580002</v>
      </c>
      <c r="R11" s="57">
        <f>+Q11/$C$11</f>
        <v>0.12158828041947468</v>
      </c>
    </row>
    <row r="12" spans="1:28" s="43" customFormat="1" ht="12.75" x14ac:dyDescent="0.2">
      <c r="D12" s="44">
        <f>+Estado!C200-C11</f>
        <v>0</v>
      </c>
      <c r="E12" s="44">
        <f>+Estado!D200-D11</f>
        <v>0</v>
      </c>
      <c r="F12" s="44">
        <f>+Estado!E200-E11</f>
        <v>0</v>
      </c>
      <c r="G12" s="44"/>
      <c r="H12" s="44">
        <f>+Estado!G200-G11</f>
        <v>0</v>
      </c>
      <c r="I12" s="44"/>
      <c r="J12" s="44">
        <f>+Estado!I200-I11</f>
        <v>0</v>
      </c>
      <c r="K12" s="44"/>
      <c r="L12" s="44">
        <f>+Estado!K200-K11</f>
        <v>0</v>
      </c>
      <c r="M12" s="44"/>
      <c r="N12" s="44">
        <f>+Estado!M200-M11</f>
        <v>0</v>
      </c>
      <c r="O12" s="44"/>
      <c r="P12" s="44">
        <f>+Estado!O200-O11</f>
        <v>0</v>
      </c>
      <c r="Q12" s="44"/>
      <c r="R12" s="44">
        <f>+Estado!Q200-Q11</f>
        <v>0</v>
      </c>
      <c r="S12" s="44"/>
    </row>
    <row r="13" spans="1:28" ht="25.5" x14ac:dyDescent="0.25">
      <c r="A13" s="58"/>
      <c r="B13" s="58"/>
      <c r="C13" s="59" t="s">
        <v>59</v>
      </c>
      <c r="D13" s="60" t="s">
        <v>60</v>
      </c>
    </row>
    <row r="14" spans="1:28" x14ac:dyDescent="0.25">
      <c r="A14" s="227" t="s">
        <v>61</v>
      </c>
      <c r="B14" s="228"/>
      <c r="C14" s="42">
        <f>+D14/C11*100</f>
        <v>0.10726494495414912</v>
      </c>
      <c r="D14" s="45">
        <f>+E11</f>
        <v>145678860.28</v>
      </c>
    </row>
    <row r="15" spans="1:28" x14ac:dyDescent="0.25">
      <c r="A15" s="225" t="s">
        <v>62</v>
      </c>
      <c r="B15" s="226"/>
      <c r="C15" s="42">
        <f>+D15/C11*100</f>
        <v>3.8586804440466174</v>
      </c>
      <c r="D15" s="45">
        <f>+G11</f>
        <v>5240558036.1199989</v>
      </c>
    </row>
    <row r="16" spans="1:28" x14ac:dyDescent="0.25">
      <c r="A16" s="225" t="s">
        <v>63</v>
      </c>
      <c r="B16" s="226"/>
      <c r="C16" s="42">
        <f>+D16/C11*100</f>
        <v>0</v>
      </c>
      <c r="D16" s="45">
        <f>+I11</f>
        <v>0</v>
      </c>
    </row>
    <row r="17" spans="1:4" ht="56.25" customHeight="1" x14ac:dyDescent="0.25">
      <c r="A17" s="225" t="s">
        <v>64</v>
      </c>
      <c r="B17" s="226"/>
      <c r="C17" s="42">
        <f>+D17/C11*100</f>
        <v>83.669964003580787</v>
      </c>
      <c r="D17" s="45">
        <f>+K11</f>
        <v>113634002244.81999</v>
      </c>
    </row>
    <row r="18" spans="1:4" x14ac:dyDescent="0.25">
      <c r="A18" s="225" t="s">
        <v>65</v>
      </c>
      <c r="B18" s="226"/>
      <c r="C18" s="42">
        <f>+D18/C11*100</f>
        <v>12.36409060741844</v>
      </c>
      <c r="D18" s="45">
        <f>+O11</f>
        <v>16791941009.780003</v>
      </c>
    </row>
    <row r="19" spans="1:4" x14ac:dyDescent="0.25">
      <c r="A19" s="225" t="s">
        <v>15</v>
      </c>
      <c r="B19" s="226"/>
      <c r="C19" s="46">
        <f>SUM(C14:C18)</f>
        <v>100</v>
      </c>
      <c r="D19" s="47">
        <f>SUM(D14:D18)</f>
        <v>135812180150.99998</v>
      </c>
    </row>
    <row r="20" spans="1:4" x14ac:dyDescent="0.25">
      <c r="A20" s="225"/>
      <c r="B20" s="226"/>
    </row>
    <row r="21" spans="1:4" x14ac:dyDescent="0.25">
      <c r="A21" s="225" t="s">
        <v>66</v>
      </c>
      <c r="B21" s="226"/>
      <c r="C21" s="42">
        <f>+D21/C11*100</f>
        <v>87.635909392581539</v>
      </c>
      <c r="D21" s="45">
        <f>+E11+G11+I11+K11</f>
        <v>119020239141.21999</v>
      </c>
    </row>
    <row r="22" spans="1:4" x14ac:dyDescent="0.25">
      <c r="A22" s="225" t="s">
        <v>67</v>
      </c>
      <c r="B22" s="226"/>
      <c r="C22" s="42">
        <f>+D22/C11*100</f>
        <v>81.056476336117072</v>
      </c>
      <c r="D22" s="45">
        <f>+M11</f>
        <v>110084567665.66</v>
      </c>
    </row>
    <row r="23" spans="1:4" x14ac:dyDescent="0.25">
      <c r="A23" s="225" t="s">
        <v>68</v>
      </c>
      <c r="B23" s="226"/>
      <c r="C23" s="42">
        <f>+D23/C11*100</f>
        <v>12.158828041947469</v>
      </c>
      <c r="D23" s="45">
        <f>+Q11</f>
        <v>16513169444.580002</v>
      </c>
    </row>
  </sheetData>
  <mergeCells count="10"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9:B19"/>
  </mergeCells>
  <pageMargins left="0.7" right="0.7" top="0.75" bottom="0.75" header="0.3" footer="0.3"/>
  <pageSetup orientation="portrait" verticalDpi="599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E16"/>
  <sheetViews>
    <sheetView workbookViewId="0"/>
  </sheetViews>
  <sheetFormatPr baseColWidth="10" defaultRowHeight="15" x14ac:dyDescent="0.25"/>
  <cols>
    <col min="1" max="1" width="12.28515625" customWidth="1"/>
    <col min="2" max="2" width="14.7109375" customWidth="1"/>
    <col min="3" max="3" width="12.28515625" customWidth="1"/>
    <col min="4" max="4" width="15.42578125" customWidth="1"/>
  </cols>
  <sheetData>
    <row r="2" spans="1:5" ht="38.25" customHeight="1" x14ac:dyDescent="0.25">
      <c r="A2" s="229" t="s">
        <v>604</v>
      </c>
      <c r="B2" s="147" t="s">
        <v>585</v>
      </c>
      <c r="C2" s="231" t="s">
        <v>584</v>
      </c>
      <c r="D2" s="231" t="s">
        <v>65</v>
      </c>
    </row>
    <row r="3" spans="1:5" ht="51" x14ac:dyDescent="0.25">
      <c r="A3" s="230"/>
      <c r="B3" s="148" t="s">
        <v>586</v>
      </c>
      <c r="C3" s="232"/>
      <c r="D3" s="232"/>
    </row>
    <row r="4" spans="1:5" x14ac:dyDescent="0.25">
      <c r="A4" s="93" t="s">
        <v>587</v>
      </c>
      <c r="B4" s="146">
        <v>0.20883482226903555</v>
      </c>
      <c r="C4" s="49">
        <v>8.2190393112421267E-2</v>
      </c>
      <c r="D4" s="49">
        <v>0.79116517773096451</v>
      </c>
      <c r="E4" s="48"/>
    </row>
    <row r="5" spans="1:5" x14ac:dyDescent="0.25">
      <c r="A5" s="93" t="s">
        <v>588</v>
      </c>
      <c r="B5" s="146">
        <v>0.24792269479876602</v>
      </c>
      <c r="C5" s="49">
        <v>0.14101762177731525</v>
      </c>
      <c r="D5" s="49">
        <v>0.75207730520123384</v>
      </c>
      <c r="E5" s="48"/>
    </row>
    <row r="6" spans="1:5" x14ac:dyDescent="0.25">
      <c r="A6" s="93" t="s">
        <v>590</v>
      </c>
      <c r="B6" s="146">
        <v>0.29262831580600041</v>
      </c>
      <c r="C6" s="49">
        <v>0.19470403433885611</v>
      </c>
      <c r="D6" s="49">
        <v>0.70737168419399965</v>
      </c>
      <c r="E6" s="48"/>
    </row>
    <row r="7" spans="1:5" x14ac:dyDescent="0.25">
      <c r="A7" s="93" t="s">
        <v>593</v>
      </c>
      <c r="B7" s="146">
        <v>0.37594306111472531</v>
      </c>
      <c r="C7" s="49">
        <v>0.24601450935196334</v>
      </c>
      <c r="D7" s="49">
        <v>0.6240569388852748</v>
      </c>
      <c r="E7" s="48"/>
    </row>
    <row r="8" spans="1:5" x14ac:dyDescent="0.25">
      <c r="A8" s="93" t="s">
        <v>596</v>
      </c>
      <c r="B8" s="49">
        <v>0.4211359015716406</v>
      </c>
      <c r="C8" s="49">
        <v>0.30751943518008162</v>
      </c>
      <c r="D8" s="49">
        <v>0.5788640984283594</v>
      </c>
      <c r="E8" s="48"/>
    </row>
    <row r="9" spans="1:5" x14ac:dyDescent="0.25">
      <c r="A9" s="93" t="s">
        <v>597</v>
      </c>
      <c r="B9" s="49">
        <v>0.4764357919188893</v>
      </c>
      <c r="C9" s="49">
        <v>0.3641024464756184</v>
      </c>
      <c r="D9" s="49">
        <v>0.52356420808111082</v>
      </c>
      <c r="E9" s="48"/>
    </row>
    <row r="10" spans="1:5" x14ac:dyDescent="0.25">
      <c r="A10" s="93" t="s">
        <v>605</v>
      </c>
      <c r="B10" s="49">
        <v>0.54786365239430357</v>
      </c>
      <c r="C10" s="49">
        <v>0.43143235339336805</v>
      </c>
      <c r="D10" s="49">
        <v>0.45213634760569643</v>
      </c>
      <c r="E10" s="48"/>
    </row>
    <row r="11" spans="1:5" x14ac:dyDescent="0.25">
      <c r="A11" s="93" t="s">
        <v>608</v>
      </c>
      <c r="B11" s="49">
        <v>0.56749307463740406</v>
      </c>
      <c r="C11" s="49">
        <v>0.47006766575552933</v>
      </c>
      <c r="D11" s="49">
        <v>0.432506925362596</v>
      </c>
      <c r="E11" s="48"/>
    </row>
    <row r="12" spans="1:5" x14ac:dyDescent="0.25">
      <c r="A12" s="93" t="s">
        <v>609</v>
      </c>
      <c r="B12" s="49">
        <v>0.6327429578381395</v>
      </c>
      <c r="C12" s="49">
        <v>0.54584608316851435</v>
      </c>
      <c r="D12" s="49">
        <v>0.3672570421618605</v>
      </c>
      <c r="E12" s="48"/>
    </row>
    <row r="13" spans="1:5" x14ac:dyDescent="0.25">
      <c r="A13" s="93" t="s">
        <v>612</v>
      </c>
      <c r="B13" s="49">
        <v>0.69201944407154836</v>
      </c>
      <c r="C13" s="49">
        <v>0.60343107931138351</v>
      </c>
      <c r="D13" s="49">
        <v>0.30798055592845169</v>
      </c>
      <c r="E13" s="48"/>
    </row>
    <row r="14" spans="1:5" x14ac:dyDescent="0.25">
      <c r="A14" s="93" t="s">
        <v>613</v>
      </c>
      <c r="B14" s="49">
        <v>0.79803638386694409</v>
      </c>
      <c r="C14" s="49">
        <v>0.66972591611791654</v>
      </c>
      <c r="D14" s="49">
        <v>0.20196361613305591</v>
      </c>
      <c r="E14" s="48"/>
    </row>
    <row r="15" spans="1:5" x14ac:dyDescent="0.25">
      <c r="A15" s="93" t="s">
        <v>615</v>
      </c>
      <c r="B15" s="49">
        <f>+(+'COMPORT. RESUMEN'!$E$11+'COMPORT. RESUMEN'!$G$11+'COMPORT. RESUMEN'!$I$11+'COMPORT. RESUMEN'!$K$11)/'COMPORT. RESUMEN'!$C$11</f>
        <v>0.87635909392581546</v>
      </c>
      <c r="C15" s="49">
        <f>+(+'COMPORT. RESUMEN'!$K$11)/'COMPORT. RESUMEN'!$C$11</f>
        <v>0.83669964003580788</v>
      </c>
      <c r="D15" s="49">
        <f>+'COMPORT. RESUMEN'!$P$11</f>
        <v>0.1236409060741844</v>
      </c>
      <c r="E15" s="48"/>
    </row>
    <row r="16" spans="1:5" hidden="1" x14ac:dyDescent="0.25">
      <c r="A16" s="93"/>
      <c r="B16" s="50"/>
      <c r="C16" s="50"/>
      <c r="D16" s="49"/>
    </row>
  </sheetData>
  <mergeCells count="3">
    <mergeCell ref="A2:A3"/>
    <mergeCell ref="D2:D3"/>
    <mergeCell ref="C2:C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opLeftCell="B1" zoomScale="80" zoomScaleNormal="80" workbookViewId="0">
      <selection activeCell="B1" sqref="B1:O1"/>
    </sheetView>
  </sheetViews>
  <sheetFormatPr baseColWidth="10" defaultColWidth="17.5703125" defaultRowHeight="15" x14ac:dyDescent="0.25"/>
  <cols>
    <col min="1" max="1" width="25.140625" style="24" hidden="1" customWidth="1"/>
    <col min="2" max="2" width="14.5703125" style="24" customWidth="1"/>
    <col min="3" max="3" width="20.140625" style="24" bestFit="1" customWidth="1"/>
    <col min="4" max="4" width="5" style="24" bestFit="1" customWidth="1"/>
    <col min="5" max="5" width="16.28515625" style="24" bestFit="1" customWidth="1"/>
    <col min="6" max="6" width="6.5703125" style="24" bestFit="1" customWidth="1"/>
    <col min="7" max="7" width="19.140625" style="24" bestFit="1" customWidth="1"/>
    <col min="8" max="8" width="12" style="24" hidden="1" customWidth="1"/>
    <col min="9" max="9" width="6.5703125" style="24" bestFit="1" customWidth="1"/>
    <col min="10" max="10" width="10.140625" style="24" bestFit="1" customWidth="1"/>
    <col min="11" max="11" width="8.5703125" style="24" bestFit="1" customWidth="1"/>
    <col min="12" max="12" width="20.140625" style="24" bestFit="1" customWidth="1"/>
    <col min="13" max="13" width="13.85546875" style="24" bestFit="1" customWidth="1"/>
    <col min="14" max="14" width="23.42578125" style="24" bestFit="1" customWidth="1"/>
    <col min="15" max="15" width="9.42578125" style="24" customWidth="1"/>
    <col min="16" max="16" width="7.85546875" style="24" customWidth="1"/>
    <col min="17" max="18" width="17.5703125" style="24"/>
    <col min="19" max="19" width="9.85546875" style="24" bestFit="1" customWidth="1"/>
    <col min="20" max="20" width="18.5703125" style="24" bestFit="1" customWidth="1"/>
    <col min="21" max="22" width="17.5703125" style="24"/>
    <col min="23" max="23" width="18.5703125" style="24" bestFit="1" customWidth="1"/>
    <col min="24" max="24" width="9.42578125" style="24" customWidth="1"/>
    <col min="25" max="25" width="17.5703125" style="24"/>
    <col min="26" max="26" width="9.85546875" style="24" customWidth="1"/>
    <col min="27" max="16384" width="17.5703125" style="24"/>
  </cols>
  <sheetData>
    <row r="1" spans="1:26" ht="15.75" x14ac:dyDescent="0.25">
      <c r="B1" s="189" t="s">
        <v>70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26" ht="15.75" x14ac:dyDescent="0.25">
      <c r="B2" s="189" t="str">
        <f>+Estado!A4</f>
        <v xml:space="preserve">AL 31 DE DICIEMBRE 2017        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26" ht="15.75" x14ac:dyDescent="0.25">
      <c r="B3" s="189" t="s">
        <v>55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1:26" x14ac:dyDescent="0.25">
      <c r="L4" s="52"/>
    </row>
    <row r="5" spans="1:26" ht="25.5" x14ac:dyDescent="0.25">
      <c r="A5" s="61"/>
      <c r="B5" s="58" t="s">
        <v>71</v>
      </c>
      <c r="C5" s="62" t="s">
        <v>1</v>
      </c>
      <c r="D5" s="62" t="s">
        <v>72</v>
      </c>
      <c r="E5" s="62" t="s">
        <v>3</v>
      </c>
      <c r="F5" s="62"/>
      <c r="G5" s="62" t="s">
        <v>43</v>
      </c>
      <c r="H5" s="62" t="s">
        <v>73</v>
      </c>
      <c r="I5" s="62"/>
      <c r="J5" s="62" t="s">
        <v>31</v>
      </c>
      <c r="K5" s="62" t="s">
        <v>72</v>
      </c>
      <c r="L5" s="62" t="s">
        <v>33</v>
      </c>
      <c r="M5" s="62" t="s">
        <v>74</v>
      </c>
      <c r="N5" s="62" t="s">
        <v>6</v>
      </c>
      <c r="O5" s="62" t="s">
        <v>8</v>
      </c>
      <c r="S5" s="58" t="s">
        <v>56</v>
      </c>
      <c r="T5" s="62" t="s">
        <v>1</v>
      </c>
      <c r="U5" s="62" t="s">
        <v>3</v>
      </c>
      <c r="V5" s="62" t="s">
        <v>43</v>
      </c>
      <c r="W5" s="62" t="s">
        <v>33</v>
      </c>
      <c r="X5" s="62" t="s">
        <v>74</v>
      </c>
      <c r="Y5" s="62" t="s">
        <v>6</v>
      </c>
      <c r="Z5" s="62" t="s">
        <v>8</v>
      </c>
    </row>
    <row r="6" spans="1:26" x14ac:dyDescent="0.25">
      <c r="B6" s="80" t="s">
        <v>75</v>
      </c>
      <c r="C6" s="75">
        <f>+[2]Estado!$C$10</f>
        <v>2888329075</v>
      </c>
      <c r="D6" s="138">
        <f>IFERROR(C6/$C$11,0)</f>
        <v>2.1267084231978827E-2</v>
      </c>
      <c r="E6" s="75">
        <f>++[2]Estado!$E$10</f>
        <v>870800</v>
      </c>
      <c r="F6" s="76">
        <f>+E6/C6</f>
        <v>3.0148919232826681E-4</v>
      </c>
      <c r="G6" s="75">
        <f>++[2]Estado!$G$10</f>
        <v>31102070.57</v>
      </c>
      <c r="H6" s="81">
        <f>IFERROR(G6/C6,0)</f>
        <v>1.0768188029267406E-2</v>
      </c>
      <c r="I6" s="81">
        <f t="shared" ref="I6:I11" si="0">+G6/C6</f>
        <v>1.0768188029267406E-2</v>
      </c>
      <c r="J6" s="75">
        <f>++[2]Estado!$I$10</f>
        <v>0</v>
      </c>
      <c r="K6" s="81">
        <f>IFERROR(J6/G6,0)</f>
        <v>0</v>
      </c>
      <c r="L6" s="75">
        <f>++[2]Estado!$K$10</f>
        <v>2575937092.5999999</v>
      </c>
      <c r="M6" s="138">
        <f>IFERROR(L6/C6,0)</f>
        <v>0.89184335500275358</v>
      </c>
      <c r="N6" s="75">
        <f>++[2]Estado!$O$10</f>
        <v>280419111.82999998</v>
      </c>
      <c r="O6" s="138">
        <f>IFERROR(N6/C6,0)</f>
        <v>9.7086967775650693E-2</v>
      </c>
      <c r="P6" s="83"/>
      <c r="Q6" s="127">
        <f>(+E11+G11+J11+L11)/C11</f>
        <v>0.87635909392581557</v>
      </c>
      <c r="S6" s="173">
        <v>779</v>
      </c>
      <c r="T6" s="75">
        <v>2888329075</v>
      </c>
      <c r="U6" s="75">
        <v>870800</v>
      </c>
      <c r="V6" s="75">
        <v>31102070.57</v>
      </c>
      <c r="W6" s="75">
        <v>2575937092.5999999</v>
      </c>
      <c r="X6" s="138">
        <v>0.89184335500275358</v>
      </c>
      <c r="Y6" s="75">
        <v>280419111.82999998</v>
      </c>
      <c r="Z6" s="138">
        <v>9.7086967775650693E-2</v>
      </c>
    </row>
    <row r="7" spans="1:26" x14ac:dyDescent="0.25">
      <c r="B7" s="80" t="s">
        <v>76</v>
      </c>
      <c r="C7" s="75">
        <f>++[3]Estado!$C$10</f>
        <v>1180395176</v>
      </c>
      <c r="D7" s="138">
        <f>IFERROR(C7/$C$11,0)</f>
        <v>8.6913793349580413E-3</v>
      </c>
      <c r="E7" s="75">
        <f>++[3]Estado!$E$10</f>
        <v>1020000</v>
      </c>
      <c r="F7" s="76">
        <f t="shared" ref="F7" si="1">+E7/C7</f>
        <v>8.6411739114054126E-4</v>
      </c>
      <c r="G7" s="75">
        <f>++[3]Estado!$G$10</f>
        <v>11246850.499999998</v>
      </c>
      <c r="H7" s="81">
        <f t="shared" ref="H7" si="2">IFERROR(G7/C7,0)</f>
        <v>9.5280383456938129E-3</v>
      </c>
      <c r="I7" s="81">
        <f t="shared" si="0"/>
        <v>9.5280383456938129E-3</v>
      </c>
      <c r="J7" s="75">
        <f>++[3]Estado!$I$10</f>
        <v>0</v>
      </c>
      <c r="K7" s="81">
        <f t="shared" ref="K7" si="3">IFERROR(J7/G7,0)</f>
        <v>0</v>
      </c>
      <c r="L7" s="75">
        <f>++[3]Estado!$K$10</f>
        <v>1011673186.97</v>
      </c>
      <c r="M7" s="138">
        <f>IFERROR(L7/C7,0)</f>
        <v>0.85706313236407194</v>
      </c>
      <c r="N7" s="75">
        <f>++[3]Estado!$O$10</f>
        <v>156455138.53</v>
      </c>
      <c r="O7" s="138">
        <f>IFERROR(N7/C7,0)</f>
        <v>0.1325447118990937</v>
      </c>
      <c r="P7" s="83"/>
      <c r="S7" s="173">
        <v>780</v>
      </c>
      <c r="T7" s="75">
        <v>1180395176</v>
      </c>
      <c r="U7" s="75">
        <v>1020000</v>
      </c>
      <c r="V7" s="75">
        <v>11246850.499999998</v>
      </c>
      <c r="W7" s="75">
        <v>1011673186.97</v>
      </c>
      <c r="X7" s="138">
        <v>0.85706313236407194</v>
      </c>
      <c r="Y7" s="75">
        <v>156455138.53</v>
      </c>
      <c r="Z7" s="138">
        <v>0.1325447118990937</v>
      </c>
    </row>
    <row r="8" spans="1:26" x14ac:dyDescent="0.25">
      <c r="B8" s="80" t="s">
        <v>77</v>
      </c>
      <c r="C8" s="75">
        <f>++[4]Estado!$C$10</f>
        <v>10084688285</v>
      </c>
      <c r="D8" s="138">
        <f>IFERROR(C8/$C$11,0)</f>
        <v>7.4254667540036137E-2</v>
      </c>
      <c r="E8" s="75">
        <f>++[4]Estado!$E$10</f>
        <v>6500000</v>
      </c>
      <c r="F8" s="76">
        <f t="shared" ref="F8" si="4">+E8/C8</f>
        <v>6.4454148867130795E-4</v>
      </c>
      <c r="G8" s="75">
        <f>++[4]Estado!$G$10</f>
        <v>136592267.66</v>
      </c>
      <c r="H8" s="81">
        <f t="shared" ref="H8" si="5">IFERROR(G8/C8,0)</f>
        <v>1.3544520544394794E-2</v>
      </c>
      <c r="I8" s="81">
        <f t="shared" si="0"/>
        <v>1.3544520544394794E-2</v>
      </c>
      <c r="J8" s="75">
        <f>++[4]Estado!$I$10</f>
        <v>0</v>
      </c>
      <c r="K8" s="81">
        <f t="shared" ref="K8" si="6">IFERROR(J8/G8,0)</f>
        <v>0</v>
      </c>
      <c r="L8" s="75">
        <f>++[4]Estado!$K$10</f>
        <v>8731089979.3500004</v>
      </c>
      <c r="M8" s="138">
        <f>IFERROR(L8/C8,0)</f>
        <v>0.86577688200205982</v>
      </c>
      <c r="N8" s="75">
        <f>++[4]Estado!$O$10</f>
        <v>1210506037.99</v>
      </c>
      <c r="O8" s="138">
        <f>IFERROR(N8/C8,0)</f>
        <v>0.12003405596487408</v>
      </c>
      <c r="S8" s="173">
        <v>781</v>
      </c>
      <c r="T8" s="75">
        <v>10084688285</v>
      </c>
      <c r="U8" s="75">
        <v>6500000</v>
      </c>
      <c r="V8" s="75">
        <v>136592267.66</v>
      </c>
      <c r="W8" s="75">
        <v>8731089979.3500004</v>
      </c>
      <c r="X8" s="138">
        <v>0.86577688200205982</v>
      </c>
      <c r="Y8" s="75">
        <v>1210506037.99</v>
      </c>
      <c r="Z8" s="138">
        <v>0.12003405596487408</v>
      </c>
    </row>
    <row r="9" spans="1:26" x14ac:dyDescent="0.25">
      <c r="B9" s="80" t="s">
        <v>78</v>
      </c>
      <c r="C9" s="75">
        <f>++[5]Estado!$C$10</f>
        <v>108178679615</v>
      </c>
      <c r="D9" s="138">
        <f>IFERROR(C9/$C$11,0)</f>
        <v>0.79653150030228326</v>
      </c>
      <c r="E9" s="75">
        <f>++[5]Estado!$E$10</f>
        <v>137288060.28</v>
      </c>
      <c r="F9" s="76">
        <f t="shared" ref="F9" si="7">+E9/C9</f>
        <v>1.2690861153842711E-3</v>
      </c>
      <c r="G9" s="75">
        <f>++[5]Estado!$G$10</f>
        <v>5048648477.9399996</v>
      </c>
      <c r="H9" s="81">
        <f t="shared" ref="H9" si="8">IFERROR(G9/C9,0)</f>
        <v>4.6669533182580616E-2</v>
      </c>
      <c r="I9" s="81">
        <f t="shared" si="0"/>
        <v>4.6669533182580616E-2</v>
      </c>
      <c r="J9" s="75">
        <f>++[5]Estado!$I$10</f>
        <v>0</v>
      </c>
      <c r="K9" s="81">
        <f t="shared" ref="K9" si="9">IFERROR(J9/G9,0)</f>
        <v>0</v>
      </c>
      <c r="L9" s="75">
        <f>++[5]Estado!$K$10</f>
        <v>88838863182.520004</v>
      </c>
      <c r="M9" s="138">
        <f>IFERROR(L9/C9,0)</f>
        <v>0.82122340093899293</v>
      </c>
      <c r="N9" s="75">
        <f>++[5]Estado!$O$10</f>
        <v>14153879894.26</v>
      </c>
      <c r="O9" s="138">
        <f>IFERROR(N9/C9,0)</f>
        <v>0.13083797976304223</v>
      </c>
      <c r="S9" s="173">
        <v>783</v>
      </c>
      <c r="T9" s="75">
        <v>108178679615</v>
      </c>
      <c r="U9" s="75">
        <v>137288060.28</v>
      </c>
      <c r="V9" s="75">
        <v>5048648477.9399996</v>
      </c>
      <c r="W9" s="75">
        <v>88838863182.520004</v>
      </c>
      <c r="X9" s="138">
        <v>0.82122340093899293</v>
      </c>
      <c r="Y9" s="75">
        <v>14153879894.26</v>
      </c>
      <c r="Z9" s="138">
        <v>0.13083797976304223</v>
      </c>
    </row>
    <row r="10" spans="1:26" x14ac:dyDescent="0.25">
      <c r="B10" s="80" t="s">
        <v>79</v>
      </c>
      <c r="C10" s="75">
        <f>++[6]Estado!$C$10</f>
        <v>13480088000</v>
      </c>
      <c r="D10" s="138">
        <f>IFERROR(C10/$C$11,0)</f>
        <v>9.925536859074377E-2</v>
      </c>
      <c r="E10" s="75">
        <f>++[6]Estado!$E$10</f>
        <v>0</v>
      </c>
      <c r="F10" s="76">
        <f t="shared" ref="F10" si="10">+E10/C10</f>
        <v>0</v>
      </c>
      <c r="G10" s="75">
        <f>++[6]Estado!$G$10</f>
        <v>12968369.449999999</v>
      </c>
      <c r="H10" s="81">
        <f t="shared" ref="H10" si="11">IFERROR(G10/C10,0)</f>
        <v>9.6203893105148864E-4</v>
      </c>
      <c r="I10" s="81">
        <f t="shared" si="0"/>
        <v>9.6203893105148864E-4</v>
      </c>
      <c r="J10" s="75">
        <f>++[6]Estado!$J$10</f>
        <v>0</v>
      </c>
      <c r="K10" s="81">
        <f t="shared" ref="K10" si="12">IFERROR(J10/G10,0)</f>
        <v>0</v>
      </c>
      <c r="L10" s="75">
        <f>++[6]Estado!$K$10</f>
        <v>12476438803.379999</v>
      </c>
      <c r="M10" s="138">
        <f>IFERROR(L10/C10,0)</f>
        <v>0.92554579787461322</v>
      </c>
      <c r="N10" s="75">
        <f>++[6]Estado!$O$10</f>
        <v>990680827.16999996</v>
      </c>
      <c r="O10" s="138">
        <f>IFERROR(N10/C10,0)</f>
        <v>7.3492163194335228E-2</v>
      </c>
      <c r="S10" s="173">
        <v>784</v>
      </c>
      <c r="T10" s="75">
        <v>13480088000</v>
      </c>
      <c r="U10" s="75">
        <v>0</v>
      </c>
      <c r="V10" s="75">
        <v>12968369.449999999</v>
      </c>
      <c r="W10" s="75">
        <v>12476438803.379999</v>
      </c>
      <c r="X10" s="138">
        <v>0.92554579787461322</v>
      </c>
      <c r="Y10" s="75">
        <v>990680827.16999996</v>
      </c>
      <c r="Z10" s="138">
        <v>7.3492163194335228E-2</v>
      </c>
    </row>
    <row r="11" spans="1:26" x14ac:dyDescent="0.25">
      <c r="A11" s="61"/>
      <c r="B11" s="55" t="s">
        <v>15</v>
      </c>
      <c r="C11" s="56">
        <f>SUM(C6:C10)</f>
        <v>135812180151</v>
      </c>
      <c r="D11" s="57"/>
      <c r="E11" s="56">
        <f>SUM(E6:E10)</f>
        <v>145678860.28</v>
      </c>
      <c r="F11" s="57">
        <f>+E11/C11</f>
        <v>1.0726494495414912E-3</v>
      </c>
      <c r="G11" s="56">
        <f>SUM(G6:G10)</f>
        <v>5240558036.1199989</v>
      </c>
      <c r="H11" s="57">
        <f>+G11/C11</f>
        <v>3.8586804440466173E-2</v>
      </c>
      <c r="I11" s="92">
        <f t="shared" si="0"/>
        <v>3.8586804440466173E-2</v>
      </c>
      <c r="J11" s="56">
        <f>SUM(J6:J10)</f>
        <v>0</v>
      </c>
      <c r="K11" s="57">
        <f>+J11/G11</f>
        <v>0</v>
      </c>
      <c r="L11" s="56">
        <f>SUM(L6:L10)</f>
        <v>113634002244.82001</v>
      </c>
      <c r="M11" s="140">
        <f>+L11/C11</f>
        <v>0.83669964003580799</v>
      </c>
      <c r="N11" s="56">
        <f>SUM(N6:N10)</f>
        <v>16791941009.780001</v>
      </c>
      <c r="O11" s="140">
        <f>+N11/C11</f>
        <v>0.12364090607418439</v>
      </c>
      <c r="S11" s="174" t="s">
        <v>15</v>
      </c>
      <c r="T11" s="56">
        <f>SUM(T6:T10)</f>
        <v>135812180151</v>
      </c>
      <c r="U11" s="56">
        <f>SUM(U6:U10)</f>
        <v>145678860.28</v>
      </c>
      <c r="V11" s="56">
        <f>SUM(V6:V10)</f>
        <v>5240558036.1199989</v>
      </c>
      <c r="W11" s="56">
        <f>SUM(W6:W10)</f>
        <v>113634002244.82001</v>
      </c>
      <c r="X11" s="140">
        <f>+W11/T11</f>
        <v>0.83669964003580799</v>
      </c>
      <c r="Y11" s="56">
        <f>SUM(Y6:Y10)</f>
        <v>16791941009.780001</v>
      </c>
      <c r="Z11" s="140">
        <f>+Y11/T11</f>
        <v>0.12364090607418439</v>
      </c>
    </row>
    <row r="12" spans="1:26" x14ac:dyDescent="0.25">
      <c r="B12" s="79"/>
      <c r="C12" s="44">
        <f>+C11-Estado!C10</f>
        <v>0</v>
      </c>
      <c r="D12" s="44"/>
      <c r="E12" s="44">
        <f>+E11-Estado!E10</f>
        <v>0</v>
      </c>
      <c r="F12" s="44"/>
      <c r="G12" s="44">
        <f>+G11-Estado!G10</f>
        <v>0</v>
      </c>
      <c r="H12" s="44"/>
      <c r="I12" s="44"/>
      <c r="J12" s="44"/>
      <c r="K12" s="44"/>
      <c r="L12" s="44">
        <f>+L11-Estado!K10</f>
        <v>0</v>
      </c>
      <c r="M12" s="44"/>
      <c r="N12" s="44">
        <f>+N11-Estado!O10</f>
        <v>0</v>
      </c>
      <c r="O12" s="43"/>
    </row>
    <row r="13" spans="1:26" x14ac:dyDescent="0.25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2"/>
      <c r="O13" s="79"/>
    </row>
    <row r="17" spans="2:4" x14ac:dyDescent="0.25">
      <c r="B17" s="83"/>
      <c r="C17" s="83"/>
      <c r="D17" s="83"/>
    </row>
    <row r="18" spans="2:4" x14ac:dyDescent="0.25">
      <c r="B18" s="83"/>
      <c r="C18" s="83"/>
      <c r="D18" s="83"/>
    </row>
    <row r="19" spans="2:4" x14ac:dyDescent="0.25">
      <c r="B19" s="83"/>
      <c r="C19" s="83"/>
      <c r="D19" s="83"/>
    </row>
    <row r="20" spans="2:4" x14ac:dyDescent="0.25">
      <c r="B20" s="83"/>
      <c r="C20" s="83"/>
      <c r="D20" s="83"/>
    </row>
  </sheetData>
  <mergeCells count="3">
    <mergeCell ref="B1:O1"/>
    <mergeCell ref="B2:O2"/>
    <mergeCell ref="B3:O3"/>
  </mergeCells>
  <printOptions horizontalCentered="1"/>
  <pageMargins left="0.31496062992125984" right="0.31496062992125984" top="0.35433070866141736" bottom="0.35433070866141736" header="0.31496062992125984" footer="0.31496062992125984"/>
  <pageSetup scale="73" orientation="landscape" verticalDpi="597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6"/>
  <sheetViews>
    <sheetView zoomScaleNormal="100" workbookViewId="0">
      <selection activeCell="D9" sqref="D9"/>
    </sheetView>
  </sheetViews>
  <sheetFormatPr baseColWidth="10" defaultRowHeight="15" x14ac:dyDescent="0.25"/>
  <cols>
    <col min="1" max="1" width="11.42578125" style="24"/>
    <col min="2" max="2" width="10.28515625" style="24" customWidth="1"/>
    <col min="3" max="3" width="5.140625" style="24" customWidth="1"/>
    <col min="4" max="4" width="16.28515625" style="24" customWidth="1"/>
    <col min="5" max="5" width="6.140625" style="24" bestFit="1" customWidth="1"/>
    <col min="6" max="6" width="17.28515625" style="24" bestFit="1" customWidth="1"/>
    <col min="7" max="7" width="6.140625" style="24" bestFit="1" customWidth="1"/>
    <col min="8" max="8" width="17.85546875" style="24" bestFit="1" customWidth="1"/>
    <col min="9" max="9" width="6.7109375" style="24" bestFit="1" customWidth="1"/>
    <col min="10" max="10" width="17.85546875" style="24" bestFit="1" customWidth="1"/>
    <col min="11" max="11" width="6.7109375" style="24" customWidth="1"/>
    <col min="12" max="12" width="17.85546875" style="24" bestFit="1" customWidth="1"/>
    <col min="13" max="13" width="6.7109375" style="24" customWidth="1"/>
    <col min="14" max="14" width="17.85546875" style="24" bestFit="1" customWidth="1"/>
    <col min="15" max="15" width="6.7109375" style="24" customWidth="1"/>
    <col min="16" max="16" width="17.85546875" style="24" customWidth="1"/>
    <col min="17" max="17" width="6.7109375" style="24" customWidth="1"/>
    <col min="18" max="18" width="18.7109375" style="24" customWidth="1"/>
    <col min="19" max="19" width="6.7109375" style="24" customWidth="1"/>
    <col min="20" max="20" width="18.5703125" style="24" hidden="1" customWidth="1"/>
    <col min="21" max="21" width="6.7109375" style="24" hidden="1" customWidth="1"/>
    <col min="22" max="22" width="17.85546875" style="24" bestFit="1" customWidth="1"/>
    <col min="23" max="23" width="6.7109375" style="24" customWidth="1"/>
    <col min="24" max="24" width="17.28515625" style="24" bestFit="1" customWidth="1"/>
    <col min="25" max="25" width="6.7109375" style="24" customWidth="1"/>
    <col min="26" max="26" width="18.140625" style="24" customWidth="1"/>
    <col min="27" max="27" width="7.42578125" style="24" customWidth="1"/>
    <col min="28" max="28" width="17" style="24" bestFit="1" customWidth="1"/>
    <col min="29" max="29" width="7.42578125" style="24" customWidth="1"/>
    <col min="30" max="30" width="18.140625" style="24" customWidth="1"/>
    <col min="31" max="31" width="7.42578125" style="24" customWidth="1"/>
    <col min="32" max="32" width="11.42578125" style="24" customWidth="1"/>
    <col min="33" max="49" width="11.42578125" style="94"/>
    <col min="50" max="57" width="11.42578125" style="65"/>
    <col min="58" max="16384" width="11.42578125" style="24"/>
  </cols>
  <sheetData>
    <row r="1" spans="1:55" ht="15.75" x14ac:dyDescent="0.25">
      <c r="A1" s="189" t="s">
        <v>70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</row>
    <row r="2" spans="1:55" ht="15.75" x14ac:dyDescent="0.25">
      <c r="A2" s="189" t="str">
        <f>+'ANALISIS POR PROG'!B2</f>
        <v xml:space="preserve">AL 31 DE DICIEMBRE 2017        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124"/>
      <c r="AY2" s="124"/>
      <c r="AZ2" s="124"/>
      <c r="BA2" s="124"/>
      <c r="BB2" s="124"/>
      <c r="BC2" s="124"/>
    </row>
    <row r="3" spans="1:55" ht="15.75" x14ac:dyDescent="0.25">
      <c r="A3" s="189" t="s">
        <v>55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124"/>
      <c r="AY3" s="124"/>
      <c r="AZ3" s="124"/>
      <c r="BA3" s="124"/>
      <c r="BB3" s="124"/>
      <c r="BC3" s="124"/>
    </row>
    <row r="4" spans="1:55" x14ac:dyDescent="0.25">
      <c r="AF4" s="123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124"/>
      <c r="AY4" s="124"/>
      <c r="AZ4" s="124"/>
      <c r="BA4" s="124"/>
      <c r="BB4" s="124"/>
      <c r="BC4" s="124"/>
    </row>
    <row r="5" spans="1:55" x14ac:dyDescent="0.25">
      <c r="A5" s="58" t="s">
        <v>71</v>
      </c>
      <c r="B5" s="233" t="s">
        <v>81</v>
      </c>
      <c r="C5" s="234"/>
      <c r="D5" s="233" t="s">
        <v>82</v>
      </c>
      <c r="E5" s="234"/>
      <c r="F5" s="235" t="s">
        <v>83</v>
      </c>
      <c r="G5" s="236"/>
      <c r="H5" s="235" t="s">
        <v>84</v>
      </c>
      <c r="I5" s="236"/>
      <c r="J5" s="99" t="s">
        <v>88</v>
      </c>
      <c r="K5" s="99"/>
      <c r="L5" s="233" t="s">
        <v>89</v>
      </c>
      <c r="M5" s="234"/>
      <c r="N5" s="116" t="s">
        <v>561</v>
      </c>
      <c r="O5" s="116"/>
      <c r="P5" s="116" t="s">
        <v>567</v>
      </c>
      <c r="Q5" s="116"/>
      <c r="R5" s="233" t="s">
        <v>570</v>
      </c>
      <c r="S5" s="234"/>
      <c r="T5" s="233" t="s">
        <v>571</v>
      </c>
      <c r="U5" s="234"/>
      <c r="V5" s="116" t="s">
        <v>572</v>
      </c>
      <c r="W5" s="116"/>
      <c r="X5" s="233" t="s">
        <v>573</v>
      </c>
      <c r="Y5" s="234"/>
      <c r="Z5" s="233" t="s">
        <v>575</v>
      </c>
      <c r="AA5" s="234"/>
      <c r="AB5" s="233" t="s">
        <v>576</v>
      </c>
      <c r="AC5" s="234"/>
      <c r="AD5" s="233" t="s">
        <v>578</v>
      </c>
      <c r="AE5" s="234"/>
      <c r="AF5" s="123"/>
      <c r="AG5" s="95"/>
      <c r="AH5" s="134" t="str">
        <f>+B5</f>
        <v>07-Enero</v>
      </c>
      <c r="AI5" s="135" t="str">
        <f>+D5</f>
        <v>02-Febrero</v>
      </c>
      <c r="AJ5" s="135" t="s">
        <v>83</v>
      </c>
      <c r="AK5" s="135" t="s">
        <v>84</v>
      </c>
      <c r="AL5" s="135" t="s">
        <v>88</v>
      </c>
      <c r="AM5" s="135" t="s">
        <v>89</v>
      </c>
      <c r="AN5" s="135" t="s">
        <v>561</v>
      </c>
      <c r="AO5" s="135" t="s">
        <v>567</v>
      </c>
      <c r="AP5" s="135" t="s">
        <v>570</v>
      </c>
      <c r="AQ5" s="135" t="s">
        <v>571</v>
      </c>
      <c r="AR5" s="135" t="s">
        <v>572</v>
      </c>
      <c r="AS5" s="135" t="s">
        <v>573</v>
      </c>
      <c r="AT5" s="135" t="s">
        <v>575</v>
      </c>
      <c r="AU5" s="135" t="s">
        <v>576</v>
      </c>
      <c r="AV5" s="135" t="s">
        <v>578</v>
      </c>
      <c r="AW5" s="95"/>
      <c r="AX5" s="124"/>
      <c r="AY5" s="124"/>
      <c r="AZ5" s="124"/>
      <c r="BA5" s="124"/>
      <c r="BB5" s="124"/>
      <c r="BC5" s="124"/>
    </row>
    <row r="6" spans="1:55" x14ac:dyDescent="0.25">
      <c r="A6" s="84"/>
      <c r="B6" s="62" t="s">
        <v>80</v>
      </c>
      <c r="C6" s="62" t="s">
        <v>72</v>
      </c>
      <c r="D6" s="62" t="s">
        <v>80</v>
      </c>
      <c r="E6" s="62" t="s">
        <v>72</v>
      </c>
      <c r="F6" s="62" t="s">
        <v>80</v>
      </c>
      <c r="G6" s="62" t="s">
        <v>72</v>
      </c>
      <c r="H6" s="62" t="s">
        <v>80</v>
      </c>
      <c r="I6" s="62" t="s">
        <v>72</v>
      </c>
      <c r="J6" s="62" t="s">
        <v>80</v>
      </c>
      <c r="K6" s="62" t="s">
        <v>72</v>
      </c>
      <c r="L6" s="62" t="s">
        <v>80</v>
      </c>
      <c r="M6" s="62" t="s">
        <v>72</v>
      </c>
      <c r="N6" s="62" t="s">
        <v>80</v>
      </c>
      <c r="O6" s="62" t="s">
        <v>72</v>
      </c>
      <c r="P6" s="62" t="s">
        <v>80</v>
      </c>
      <c r="Q6" s="62" t="s">
        <v>72</v>
      </c>
      <c r="R6" s="62" t="s">
        <v>80</v>
      </c>
      <c r="S6" s="62" t="s">
        <v>72</v>
      </c>
      <c r="T6" s="62" t="s">
        <v>80</v>
      </c>
      <c r="U6" s="62" t="s">
        <v>72</v>
      </c>
      <c r="V6" s="62" t="s">
        <v>80</v>
      </c>
      <c r="W6" s="62" t="s">
        <v>72</v>
      </c>
      <c r="X6" s="62" t="s">
        <v>80</v>
      </c>
      <c r="Y6" s="62" t="s">
        <v>72</v>
      </c>
      <c r="Z6" s="62" t="s">
        <v>80</v>
      </c>
      <c r="AA6" s="62" t="s">
        <v>72</v>
      </c>
      <c r="AB6" s="62" t="s">
        <v>80</v>
      </c>
      <c r="AC6" s="62" t="s">
        <v>72</v>
      </c>
      <c r="AD6" s="62" t="s">
        <v>80</v>
      </c>
      <c r="AE6" s="62" t="s">
        <v>72</v>
      </c>
      <c r="AF6" s="123"/>
      <c r="AG6" s="95" t="s">
        <v>75</v>
      </c>
      <c r="AH6" s="136">
        <f>+C7</f>
        <v>0</v>
      </c>
      <c r="AI6" s="136">
        <f>+E7</f>
        <v>7.0419120509668698E-2</v>
      </c>
      <c r="AJ6" s="136">
        <f>+G7</f>
        <v>0.1051920636379533</v>
      </c>
      <c r="AK6" s="136">
        <f>+I7</f>
        <v>0.16634194867651356</v>
      </c>
      <c r="AL6" s="136">
        <f>+K7</f>
        <v>0.16634194867651356</v>
      </c>
      <c r="AM6" s="136">
        <f>+M7</f>
        <v>0.21380633958732984</v>
      </c>
      <c r="AN6" s="136">
        <f>+O7</f>
        <v>0.26041464032126493</v>
      </c>
      <c r="AO6" s="136">
        <f>+Q7</f>
        <v>0.30336542002214928</v>
      </c>
      <c r="AP6" s="136">
        <f>+S7</f>
        <v>0.35385834581634595</v>
      </c>
      <c r="AQ6" s="136">
        <f>+U7</f>
        <v>0.52629880850785726</v>
      </c>
      <c r="AR6" s="136">
        <f>+W7</f>
        <v>0.54138361692075698</v>
      </c>
      <c r="AS6" s="136">
        <f>+Y7</f>
        <v>0.59700785352283037</v>
      </c>
      <c r="AT6" s="136">
        <v>0.70674797079911356</v>
      </c>
      <c r="AU6" s="136">
        <v>0.76869545581451726</v>
      </c>
      <c r="AV6" s="136">
        <f>+AE7</f>
        <v>0.89184335500275358</v>
      </c>
      <c r="AW6" s="137"/>
      <c r="AX6" s="125"/>
      <c r="AY6" s="125"/>
      <c r="AZ6" s="125"/>
      <c r="BA6" s="125"/>
      <c r="BB6" s="125"/>
      <c r="BC6" s="125"/>
    </row>
    <row r="7" spans="1:55" x14ac:dyDescent="0.25">
      <c r="A7" s="80" t="s">
        <v>75</v>
      </c>
      <c r="B7" s="75">
        <v>0</v>
      </c>
      <c r="C7" s="91">
        <v>0</v>
      </c>
      <c r="D7" s="75">
        <v>245250994.83000001</v>
      </c>
      <c r="E7" s="91">
        <v>7.0419120509668698E-2</v>
      </c>
      <c r="F7" s="75">
        <v>366355871.37</v>
      </c>
      <c r="G7" s="91">
        <v>0.1051920636379533</v>
      </c>
      <c r="H7" s="100">
        <v>579324593.94000006</v>
      </c>
      <c r="I7" s="91">
        <v>0.16634194867651356</v>
      </c>
      <c r="J7" s="100">
        <v>579324593.94000006</v>
      </c>
      <c r="K7" s="91">
        <v>0.16634194867651356</v>
      </c>
      <c r="L7" s="100">
        <v>744630394.49000001</v>
      </c>
      <c r="M7" s="91">
        <v>0.21380633958732984</v>
      </c>
      <c r="N7" s="100">
        <v>906954661.52999997</v>
      </c>
      <c r="O7" s="91">
        <v>0.26041464032126493</v>
      </c>
      <c r="P7" s="100">
        <v>1056540759.37</v>
      </c>
      <c r="Q7" s="91">
        <v>0.30336542002214928</v>
      </c>
      <c r="R7" s="75">
        <v>1232394138.3</v>
      </c>
      <c r="S7" s="91">
        <v>0.35385834581634595</v>
      </c>
      <c r="T7" s="126">
        <v>1479237863.0999999</v>
      </c>
      <c r="U7" s="91">
        <v>0.52629880850785726</v>
      </c>
      <c r="V7" s="100">
        <v>1521635868.5699999</v>
      </c>
      <c r="W7" s="91">
        <v>0.54138361692075698</v>
      </c>
      <c r="X7" s="91">
        <v>1677975718.78</v>
      </c>
      <c r="Y7" s="91">
        <v>0.59700785352283037</v>
      </c>
      <c r="Z7" s="75">
        <v>1986415969.74</v>
      </c>
      <c r="AA7" s="91">
        <v>0.70674797079911356</v>
      </c>
      <c r="AB7" s="75">
        <v>2160528211.4499998</v>
      </c>
      <c r="AC7" s="91">
        <v>0.76869545581451726</v>
      </c>
      <c r="AD7" s="75">
        <f>+'ANALISIS POR PROG'!$L$6</f>
        <v>2575937092.5999999</v>
      </c>
      <c r="AE7" s="91">
        <f>+'ANALISIS POR PROG'!$M$6</f>
        <v>0.89184335500275358</v>
      </c>
      <c r="AF7" s="123"/>
      <c r="AG7" s="95" t="s">
        <v>76</v>
      </c>
      <c r="AH7" s="136">
        <f>+C8</f>
        <v>0</v>
      </c>
      <c r="AI7" s="136">
        <f>+E8</f>
        <v>9.847306681403302E-2</v>
      </c>
      <c r="AJ7" s="136">
        <f>+G8</f>
        <v>0.14412050791800232</v>
      </c>
      <c r="AK7" s="136">
        <f>+I8</f>
        <v>0.22521648410063372</v>
      </c>
      <c r="AL7" s="136">
        <f>+K8</f>
        <v>0.22521648410063372</v>
      </c>
      <c r="AM7" s="136">
        <f>+M8</f>
        <v>0.28187128888614627</v>
      </c>
      <c r="AN7" s="136">
        <f>+O8</f>
        <v>0.33919628395495699</v>
      </c>
      <c r="AO7" s="136">
        <f>+Q8</f>
        <v>0.39732708495640168</v>
      </c>
      <c r="AP7" s="136">
        <f>+S8</f>
        <v>0.46004519725307963</v>
      </c>
      <c r="AQ7" s="136">
        <f>+U8</f>
        <v>0.5127507660757088</v>
      </c>
      <c r="AR7" s="136">
        <f>+W8</f>
        <v>0.54261820773149716</v>
      </c>
      <c r="AS7" s="136">
        <f>+Y8</f>
        <v>0.60221737638396511</v>
      </c>
      <c r="AT7" s="136">
        <v>0.67315665049193119</v>
      </c>
      <c r="AU7" s="136">
        <v>0.74984207286196081</v>
      </c>
      <c r="AV7" s="136">
        <f>+AE8</f>
        <v>0.85706313236407194</v>
      </c>
      <c r="AW7" s="137"/>
      <c r="AX7" s="125"/>
      <c r="AY7" s="125"/>
      <c r="AZ7" s="125"/>
      <c r="BA7" s="125"/>
      <c r="BB7" s="125"/>
      <c r="BC7" s="125"/>
    </row>
    <row r="8" spans="1:55" x14ac:dyDescent="0.25">
      <c r="A8" s="80" t="s">
        <v>76</v>
      </c>
      <c r="B8" s="75">
        <v>0</v>
      </c>
      <c r="C8" s="91">
        <v>0</v>
      </c>
      <c r="D8" s="75">
        <v>89363224.930000007</v>
      </c>
      <c r="E8" s="91">
        <v>9.847306681403302E-2</v>
      </c>
      <c r="F8" s="75">
        <v>130787775.61</v>
      </c>
      <c r="G8" s="91">
        <v>0.14412050791800232</v>
      </c>
      <c r="H8" s="100">
        <v>204381481.94</v>
      </c>
      <c r="I8" s="91">
        <v>0.22521648410063372</v>
      </c>
      <c r="J8" s="100">
        <v>204381481.94</v>
      </c>
      <c r="K8" s="91">
        <v>0.22521648410063372</v>
      </c>
      <c r="L8" s="100">
        <v>255795094.08000001</v>
      </c>
      <c r="M8" s="91">
        <v>0.28187128888614627</v>
      </c>
      <c r="N8" s="100">
        <v>307816896.52999997</v>
      </c>
      <c r="O8" s="91">
        <v>0.33919628395495699</v>
      </c>
      <c r="P8" s="100">
        <v>360569959</v>
      </c>
      <c r="Q8" s="91">
        <v>0.39732708495640168</v>
      </c>
      <c r="R8" s="75">
        <v>417485956.00999999</v>
      </c>
      <c r="S8" s="91">
        <v>0.46004519725307963</v>
      </c>
      <c r="T8" s="126">
        <v>449305830.50999999</v>
      </c>
      <c r="U8" s="91">
        <v>0.5127507660757088</v>
      </c>
      <c r="V8" s="100">
        <v>475477640.61000001</v>
      </c>
      <c r="W8" s="91">
        <v>0.54261820773149716</v>
      </c>
      <c r="X8" s="91">
        <v>527702338.73000002</v>
      </c>
      <c r="Y8" s="91">
        <v>0.60221737638396511</v>
      </c>
      <c r="Z8" s="75">
        <v>589863980.55999994</v>
      </c>
      <c r="AA8" s="91">
        <v>0.67315665049193119</v>
      </c>
      <c r="AB8" s="75">
        <v>657060774.13999999</v>
      </c>
      <c r="AC8" s="91">
        <v>0.74984207286196081</v>
      </c>
      <c r="AD8" s="75">
        <f>+'ANALISIS POR PROG'!$L$7</f>
        <v>1011673186.97</v>
      </c>
      <c r="AE8" s="91">
        <f>+'ANALISIS POR PROG'!$M$7</f>
        <v>0.85706313236407194</v>
      </c>
      <c r="AF8" s="123"/>
      <c r="AG8" s="95" t="s">
        <v>77</v>
      </c>
      <c r="AH8" s="136">
        <f>+C9</f>
        <v>0</v>
      </c>
      <c r="AI8" s="136">
        <f>+E9</f>
        <v>0.1034676705007908</v>
      </c>
      <c r="AJ8" s="136">
        <f>+G9</f>
        <v>0.14685775682797078</v>
      </c>
      <c r="AK8" s="136">
        <f>+I9</f>
        <v>0.23832923646647955</v>
      </c>
      <c r="AL8" s="136">
        <f>+K9</f>
        <v>0.23832923646647955</v>
      </c>
      <c r="AM8" s="136">
        <f>+M9</f>
        <v>0.30143125937641302</v>
      </c>
      <c r="AN8" s="136">
        <f>+O9</f>
        <v>0.35710474336060977</v>
      </c>
      <c r="AO8" s="136">
        <f>+Q9</f>
        <v>0.42067539423026834</v>
      </c>
      <c r="AP8" s="136">
        <f>+S9</f>
        <v>0.48457547136075985</v>
      </c>
      <c r="AQ8" s="136">
        <f>+U9</f>
        <v>0.5420373509532308</v>
      </c>
      <c r="AR8" s="136">
        <f>+W9</f>
        <v>0.57130568807912852</v>
      </c>
      <c r="AS8" s="136">
        <f>+Y9</f>
        <v>0.64107788372986207</v>
      </c>
      <c r="AT8" s="136">
        <v>0.71372859373685638</v>
      </c>
      <c r="AU8" s="136">
        <v>0.78155259840657876</v>
      </c>
      <c r="AV8" s="136">
        <f>+AE9</f>
        <v>0.86577688200205982</v>
      </c>
      <c r="AW8" s="137"/>
      <c r="AX8" s="125"/>
      <c r="AY8" s="125"/>
      <c r="AZ8" s="125"/>
      <c r="BA8" s="125"/>
      <c r="BB8" s="125"/>
      <c r="BC8" s="125"/>
    </row>
    <row r="9" spans="1:55" x14ac:dyDescent="0.25">
      <c r="A9" s="80" t="s">
        <v>77</v>
      </c>
      <c r="B9" s="75">
        <v>0</v>
      </c>
      <c r="C9" s="91">
        <v>0</v>
      </c>
      <c r="D9" s="75">
        <v>993084770.82000005</v>
      </c>
      <c r="E9" s="91">
        <v>0.1034676705007908</v>
      </c>
      <c r="F9" s="75">
        <v>1409543687.1900001</v>
      </c>
      <c r="G9" s="91">
        <v>0.14685775682797078</v>
      </c>
      <c r="H9" s="100">
        <v>2287488778.1900001</v>
      </c>
      <c r="I9" s="91">
        <v>0.23832923646647955</v>
      </c>
      <c r="J9" s="100">
        <v>2287488778.1900001</v>
      </c>
      <c r="K9" s="91">
        <v>0.23832923646647955</v>
      </c>
      <c r="L9" s="100">
        <v>2893143256.1199999</v>
      </c>
      <c r="M9" s="91">
        <v>0.30143125937641302</v>
      </c>
      <c r="N9" s="100">
        <v>3427498468.8699999</v>
      </c>
      <c r="O9" s="91">
        <v>0.35710474336060977</v>
      </c>
      <c r="P9" s="100">
        <v>4037650847.3299999</v>
      </c>
      <c r="Q9" s="91">
        <v>0.42067539423026834</v>
      </c>
      <c r="R9" s="75">
        <v>4650965065.6300001</v>
      </c>
      <c r="S9" s="91">
        <v>0.48457547136075985</v>
      </c>
      <c r="T9" s="126">
        <v>5018766614.3999996</v>
      </c>
      <c r="U9" s="91">
        <v>0.5420373509532308</v>
      </c>
      <c r="V9" s="100">
        <v>5289764457.9399996</v>
      </c>
      <c r="W9" s="91">
        <v>0.57130568807912852</v>
      </c>
      <c r="X9" s="91">
        <v>5935790724.4499998</v>
      </c>
      <c r="Y9" s="91">
        <v>0.64107788372986207</v>
      </c>
      <c r="Z9" s="75">
        <v>6608469382.5799999</v>
      </c>
      <c r="AA9" s="91">
        <v>0.71372859373685638</v>
      </c>
      <c r="AB9" s="75">
        <v>7236457195.0299997</v>
      </c>
      <c r="AC9" s="91">
        <v>0.78155259840657876</v>
      </c>
      <c r="AD9" s="75">
        <f>+'ANALISIS POR PROG'!$L$8</f>
        <v>8731089979.3500004</v>
      </c>
      <c r="AE9" s="91">
        <f>+'ANALISIS POR PROG'!$M$8</f>
        <v>0.86577688200205982</v>
      </c>
      <c r="AF9" s="123"/>
      <c r="AG9" s="95" t="s">
        <v>78</v>
      </c>
      <c r="AH9" s="136">
        <f>+C10</f>
        <v>0</v>
      </c>
      <c r="AI9" s="136">
        <f>+E10</f>
        <v>8.2754659490175769E-2</v>
      </c>
      <c r="AJ9" s="136">
        <f>+G10</f>
        <v>0.12395199074682743</v>
      </c>
      <c r="AK9" s="136">
        <f>+I10</f>
        <v>0.2057917742419221</v>
      </c>
      <c r="AL9" s="136">
        <f>+K10</f>
        <v>0.2057917742419221</v>
      </c>
      <c r="AM9" s="136">
        <f>+M10</f>
        <v>0.26576438671716529</v>
      </c>
      <c r="AN9" s="136">
        <f>+O10</f>
        <v>0.32424020876802151</v>
      </c>
      <c r="AO9" s="136">
        <f>+Q10</f>
        <v>0.38137051910877928</v>
      </c>
      <c r="AP9" s="136">
        <f>+S10</f>
        <v>0.44617821619113329</v>
      </c>
      <c r="AQ9" s="136">
        <f>+U10</f>
        <v>0.48714224106997811</v>
      </c>
      <c r="AR9" s="136">
        <f>+W10</f>
        <v>0.5099788499543082</v>
      </c>
      <c r="AS9" s="136">
        <f>+Y10</f>
        <v>0.57139356645109007</v>
      </c>
      <c r="AT9" s="136">
        <v>0.63477107375470487</v>
      </c>
      <c r="AU9" s="136">
        <v>0.70808288615654291</v>
      </c>
      <c r="AV9" s="136">
        <f>+AE10</f>
        <v>0.82122340093899293</v>
      </c>
      <c r="AW9" s="137"/>
      <c r="AX9" s="125"/>
      <c r="AY9" s="125"/>
      <c r="AZ9" s="125"/>
      <c r="BA9" s="125"/>
      <c r="BB9" s="125"/>
      <c r="BC9" s="125"/>
    </row>
    <row r="10" spans="1:55" x14ac:dyDescent="0.25">
      <c r="A10" s="80" t="s">
        <v>78</v>
      </c>
      <c r="B10" s="75">
        <v>0</v>
      </c>
      <c r="C10" s="91">
        <v>0</v>
      </c>
      <c r="D10" s="75">
        <v>7496056829.2399998</v>
      </c>
      <c r="E10" s="91">
        <v>8.2754659490175769E-2</v>
      </c>
      <c r="F10" s="75">
        <v>11227780676.76</v>
      </c>
      <c r="G10" s="91">
        <v>0.12395199074682743</v>
      </c>
      <c r="H10" s="100">
        <v>18640966493.139999</v>
      </c>
      <c r="I10" s="91">
        <v>0.2057917742419221</v>
      </c>
      <c r="J10" s="100">
        <v>18640966493.139999</v>
      </c>
      <c r="K10" s="91">
        <v>0.2057917742419221</v>
      </c>
      <c r="L10" s="100">
        <v>24073387024.889999</v>
      </c>
      <c r="M10" s="91">
        <v>0.26576438671716529</v>
      </c>
      <c r="N10" s="100">
        <v>29370225751.919998</v>
      </c>
      <c r="O10" s="91">
        <v>0.32424020876802151</v>
      </c>
      <c r="P10" s="100">
        <v>34545185755.68</v>
      </c>
      <c r="Q10" s="91">
        <v>0.38137051910877928</v>
      </c>
      <c r="R10" s="75">
        <v>40415576417.599998</v>
      </c>
      <c r="S10" s="91">
        <v>0.44617821619113329</v>
      </c>
      <c r="T10" s="126">
        <v>44159402879.379997</v>
      </c>
      <c r="U10" s="91">
        <v>0.48714224106997811</v>
      </c>
      <c r="V10" s="100">
        <v>46229539539.889999</v>
      </c>
      <c r="W10" s="91">
        <v>0.5099788499543082</v>
      </c>
      <c r="X10" s="91">
        <v>51796778386.900002</v>
      </c>
      <c r="Y10" s="91">
        <v>0.57139356645109007</v>
      </c>
      <c r="Z10" s="75">
        <v>57541944054.25</v>
      </c>
      <c r="AA10" s="91">
        <v>0.63477107375470487</v>
      </c>
      <c r="AB10" s="75">
        <v>64187653637.059998</v>
      </c>
      <c r="AC10" s="91">
        <v>0.70808288615654291</v>
      </c>
      <c r="AD10" s="75">
        <f>+'ANALISIS POR PROG'!$L$9</f>
        <v>88838863182.520004</v>
      </c>
      <c r="AE10" s="91">
        <f>+'ANALISIS POR PROG'!$M$9</f>
        <v>0.82122340093899293</v>
      </c>
      <c r="AF10" s="123"/>
      <c r="AG10" s="95" t="s">
        <v>79</v>
      </c>
      <c r="AH10" s="136">
        <f>+C11</f>
        <v>0</v>
      </c>
      <c r="AI10" s="136">
        <f>+E11</f>
        <v>0.11570925218181546</v>
      </c>
      <c r="AJ10" s="136">
        <f>+G11</f>
        <v>0.1626488165739505</v>
      </c>
      <c r="AK10" s="136">
        <f>+I11</f>
        <v>0.25129019514931733</v>
      </c>
      <c r="AL10" s="136">
        <f>+K11</f>
        <v>0.25129019514931733</v>
      </c>
      <c r="AM10" s="136">
        <f>+M11</f>
        <v>0.31431923888391666</v>
      </c>
      <c r="AN10" s="136">
        <f>+O11</f>
        <v>0.38348291768852633</v>
      </c>
      <c r="AO10" s="136">
        <f>+Q11</f>
        <v>0.44740282664124387</v>
      </c>
      <c r="AP10" s="136">
        <f>+S11</f>
        <v>0.51275678897521071</v>
      </c>
      <c r="AQ10" s="136">
        <f>+U11</f>
        <v>0.5531082270342087</v>
      </c>
      <c r="AR10" s="136">
        <f>+W11</f>
        <v>0.57968585922017446</v>
      </c>
      <c r="AS10" s="136">
        <f>+Y11</f>
        <v>0.64460673182559847</v>
      </c>
      <c r="AT10" s="136">
        <v>0.70797571855644348</v>
      </c>
      <c r="AU10" s="136">
        <v>0.77281210486863083</v>
      </c>
      <c r="AV10" s="136">
        <f>+AE11</f>
        <v>0.92554579787461322</v>
      </c>
      <c r="AW10" s="137"/>
      <c r="AX10" s="125"/>
      <c r="AY10" s="125"/>
      <c r="AZ10" s="125"/>
      <c r="BA10" s="125"/>
      <c r="BB10" s="125"/>
      <c r="BC10" s="125"/>
    </row>
    <row r="11" spans="1:55" x14ac:dyDescent="0.25">
      <c r="A11" s="80" t="s">
        <v>79</v>
      </c>
      <c r="B11" s="75">
        <v>0</v>
      </c>
      <c r="C11" s="91">
        <v>0</v>
      </c>
      <c r="D11" s="75">
        <v>1570413954.55</v>
      </c>
      <c r="E11" s="91">
        <v>0.11570925218181546</v>
      </c>
      <c r="F11" s="75">
        <v>2207480961.3099999</v>
      </c>
      <c r="G11" s="91">
        <v>0.1626488165739505</v>
      </c>
      <c r="H11" s="100">
        <v>3410527867.5900002</v>
      </c>
      <c r="I11" s="91">
        <v>0.25129019514931733</v>
      </c>
      <c r="J11" s="100">
        <v>3410527867.5900002</v>
      </c>
      <c r="K11" s="91">
        <v>0.25129019514931733</v>
      </c>
      <c r="L11" s="100">
        <v>4265962398.1599998</v>
      </c>
      <c r="M11" s="91">
        <v>0.31431923888391666</v>
      </c>
      <c r="N11" s="100">
        <v>5204656619.1899996</v>
      </c>
      <c r="O11" s="91">
        <v>0.38348291768852633</v>
      </c>
      <c r="P11" s="100">
        <v>6072182033.9700003</v>
      </c>
      <c r="Q11" s="91">
        <v>0.44740282664124387</v>
      </c>
      <c r="R11" s="75">
        <v>6959170520.1899996</v>
      </c>
      <c r="S11" s="91">
        <v>0.51275678897521071</v>
      </c>
      <c r="T11" s="126">
        <v>7463433045.3299999</v>
      </c>
      <c r="U11" s="91">
        <v>0.5531082270342087</v>
      </c>
      <c r="V11" s="100">
        <v>7822061553.5100002</v>
      </c>
      <c r="W11" s="91">
        <v>0.57968585922017446</v>
      </c>
      <c r="X11" s="91">
        <v>8698079233.6900005</v>
      </c>
      <c r="Y11" s="91">
        <v>0.64460673182559847</v>
      </c>
      <c r="Z11" s="75">
        <v>9553156353.3199997</v>
      </c>
      <c r="AA11" s="91">
        <v>0.70797571855644348</v>
      </c>
      <c r="AB11" s="75">
        <v>10428034007.440001</v>
      </c>
      <c r="AC11" s="91">
        <v>0.77281210486863083</v>
      </c>
      <c r="AD11" s="75">
        <f>+'ANALISIS POR PROG'!$L$10</f>
        <v>12476438803.379999</v>
      </c>
      <c r="AE11" s="91">
        <f>+'ANALISIS POR PROG'!$M$10</f>
        <v>0.92554579787461322</v>
      </c>
      <c r="AF11" s="123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124"/>
      <c r="AY11" s="124"/>
      <c r="AZ11" s="124"/>
      <c r="BA11" s="124"/>
      <c r="BB11" s="124"/>
      <c r="BC11" s="124"/>
    </row>
    <row r="12" spans="1:55" x14ac:dyDescent="0.25">
      <c r="A12" s="55" t="s">
        <v>15</v>
      </c>
      <c r="B12" s="56">
        <f>SUM(B7:B11)</f>
        <v>0</v>
      </c>
      <c r="C12" s="92">
        <f t="shared" ref="C12" si="0">SUM(C7:C11)</f>
        <v>0</v>
      </c>
      <c r="D12" s="56">
        <f>SUM(D7:D11)</f>
        <v>10394169774.369999</v>
      </c>
      <c r="E12" s="92"/>
      <c r="F12" s="56">
        <f>SUM(F7:F11)</f>
        <v>15341948972.24</v>
      </c>
      <c r="G12" s="92"/>
      <c r="H12" s="101">
        <v>25122689214.799999</v>
      </c>
      <c r="I12" s="92"/>
      <c r="J12" s="101">
        <v>25122689214.799999</v>
      </c>
      <c r="K12" s="92"/>
      <c r="L12" s="56">
        <f>SUM(L7:L11)</f>
        <v>32232918167.739998</v>
      </c>
      <c r="M12" s="92"/>
      <c r="N12" s="101">
        <v>39217152398.040001</v>
      </c>
      <c r="O12" s="92"/>
      <c r="P12" s="101">
        <v>46072129355.349998</v>
      </c>
      <c r="Q12" s="92"/>
      <c r="R12" s="101">
        <f>SUM(R7:R11)</f>
        <v>53675592097.730003</v>
      </c>
      <c r="S12" s="92"/>
      <c r="T12" s="101">
        <f>SUM(T7:T11)</f>
        <v>58570146232.720001</v>
      </c>
      <c r="U12" s="92"/>
      <c r="V12" s="101">
        <f>SUM(V7:V11)</f>
        <v>61338479060.519997</v>
      </c>
      <c r="W12" s="92"/>
      <c r="X12" s="101">
        <f>SUM(X7:X11)</f>
        <v>68636326402.550003</v>
      </c>
      <c r="Y12" s="92"/>
      <c r="Z12" s="101">
        <v>76279849740.450012</v>
      </c>
      <c r="AA12" s="92"/>
      <c r="AB12" s="101">
        <v>84669733825.119995</v>
      </c>
      <c r="AC12" s="92"/>
      <c r="AD12" s="101">
        <f>SUM(AD7:AD11)</f>
        <v>113634002244.82001</v>
      </c>
      <c r="AE12" s="92"/>
      <c r="AF12" s="123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124"/>
      <c r="AY12" s="124"/>
      <c r="AZ12" s="124"/>
      <c r="BA12" s="124"/>
      <c r="BB12" s="124"/>
      <c r="BC12" s="124"/>
    </row>
    <row r="13" spans="1:55" x14ac:dyDescent="0.25">
      <c r="A13" s="79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123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124"/>
      <c r="AY13" s="124"/>
      <c r="AZ13" s="124"/>
      <c r="BA13" s="124"/>
      <c r="BB13" s="124"/>
      <c r="BC13" s="124"/>
    </row>
    <row r="14" spans="1:55" x14ac:dyDescent="0.25">
      <c r="AF14" s="123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124"/>
      <c r="AY14" s="124"/>
      <c r="AZ14" s="124"/>
      <c r="BA14" s="124"/>
      <c r="BB14" s="124"/>
      <c r="BC14" s="124"/>
    </row>
    <row r="15" spans="1:55" x14ac:dyDescent="0.25"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124"/>
      <c r="AY15" s="124"/>
      <c r="AZ15" s="124"/>
      <c r="BA15" s="124"/>
      <c r="BB15" s="124"/>
      <c r="BC15" s="124"/>
    </row>
    <row r="16" spans="1:55" x14ac:dyDescent="0.25"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124"/>
      <c r="AY16" s="124"/>
      <c r="AZ16" s="124"/>
      <c r="BA16" s="124"/>
      <c r="BB16" s="124"/>
      <c r="BC16" s="124"/>
    </row>
    <row r="17" spans="33:55" x14ac:dyDescent="0.25"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124"/>
      <c r="AY17" s="124"/>
      <c r="AZ17" s="124"/>
      <c r="BA17" s="124"/>
      <c r="BB17" s="124"/>
      <c r="BC17" s="124"/>
    </row>
    <row r="18" spans="33:55" x14ac:dyDescent="0.25"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124"/>
      <c r="AY18" s="124"/>
      <c r="AZ18" s="124"/>
      <c r="BA18" s="124"/>
      <c r="BB18" s="124"/>
      <c r="BC18" s="124"/>
    </row>
    <row r="19" spans="33:55" x14ac:dyDescent="0.25"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124"/>
      <c r="AY19" s="124"/>
      <c r="AZ19" s="124"/>
      <c r="BA19" s="124"/>
      <c r="BB19" s="124"/>
      <c r="BC19" s="124"/>
    </row>
    <row r="20" spans="33:55" x14ac:dyDescent="0.25"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124"/>
      <c r="AY20" s="124"/>
      <c r="AZ20" s="124"/>
      <c r="BA20" s="124"/>
      <c r="BB20" s="124"/>
      <c r="BC20" s="124"/>
    </row>
    <row r="21" spans="33:55" x14ac:dyDescent="0.25"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124"/>
      <c r="AY21" s="124"/>
      <c r="AZ21" s="124"/>
      <c r="BA21" s="124"/>
      <c r="BB21" s="124"/>
      <c r="BC21" s="124"/>
    </row>
    <row r="22" spans="33:55" x14ac:dyDescent="0.25"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124"/>
      <c r="AY22" s="124"/>
      <c r="AZ22" s="124"/>
      <c r="BA22" s="124"/>
      <c r="BB22" s="124"/>
      <c r="BC22" s="124"/>
    </row>
    <row r="23" spans="33:55" x14ac:dyDescent="0.25"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124"/>
      <c r="AY23" s="124"/>
      <c r="AZ23" s="124"/>
      <c r="BA23" s="124"/>
      <c r="BB23" s="124"/>
      <c r="BC23" s="124"/>
    </row>
    <row r="24" spans="33:55" x14ac:dyDescent="0.25"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124"/>
      <c r="AY24" s="124"/>
      <c r="AZ24" s="124"/>
      <c r="BA24" s="124"/>
      <c r="BB24" s="124"/>
      <c r="BC24" s="124"/>
    </row>
    <row r="25" spans="33:55" x14ac:dyDescent="0.25"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124"/>
      <c r="AY25" s="124"/>
      <c r="AZ25" s="124"/>
      <c r="BA25" s="124"/>
      <c r="BB25" s="124"/>
      <c r="BC25" s="124"/>
    </row>
    <row r="26" spans="33:55" x14ac:dyDescent="0.25"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124"/>
      <c r="AY26" s="124"/>
      <c r="AZ26" s="124"/>
      <c r="BA26" s="124"/>
      <c r="BB26" s="124"/>
      <c r="BC26" s="124"/>
    </row>
  </sheetData>
  <mergeCells count="14">
    <mergeCell ref="D5:E5"/>
    <mergeCell ref="A1:AE1"/>
    <mergeCell ref="A2:AE2"/>
    <mergeCell ref="A3:AE3"/>
    <mergeCell ref="B5:C5"/>
    <mergeCell ref="AD5:AE5"/>
    <mergeCell ref="F5:G5"/>
    <mergeCell ref="H5:I5"/>
    <mergeCell ref="L5:M5"/>
    <mergeCell ref="R5:S5"/>
    <mergeCell ref="T5:U5"/>
    <mergeCell ref="X5:Y5"/>
    <mergeCell ref="Z5:AA5"/>
    <mergeCell ref="AB5:AC5"/>
  </mergeCells>
  <pageMargins left="0.7" right="0.7" top="0.75" bottom="0.75" header="0.3" footer="0.3"/>
  <pageSetup orientation="portrait" verticalDpi="599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showGridLines="0" workbookViewId="0">
      <selection activeCell="K10" sqref="K10"/>
    </sheetView>
  </sheetViews>
  <sheetFormatPr baseColWidth="10" defaultRowHeight="15" x14ac:dyDescent="0.25"/>
  <cols>
    <col min="2" max="2" width="15.85546875" hidden="1" customWidth="1"/>
    <col min="3" max="3" width="20.42578125" bestFit="1" customWidth="1"/>
    <col min="4" max="4" width="20" bestFit="1" customWidth="1"/>
    <col min="5" max="5" width="18.85546875" bestFit="1" customWidth="1"/>
    <col min="6" max="6" width="14.7109375" customWidth="1"/>
  </cols>
  <sheetData>
    <row r="1" spans="2:8" ht="18.75" x14ac:dyDescent="0.25">
      <c r="C1" s="240" t="s">
        <v>592</v>
      </c>
      <c r="D1" s="241"/>
      <c r="E1" s="241"/>
      <c r="F1" s="242"/>
      <c r="G1" s="94"/>
      <c r="H1" s="94"/>
    </row>
    <row r="2" spans="2:8" s="181" customFormat="1" ht="18.75" x14ac:dyDescent="0.25">
      <c r="B2" s="185"/>
      <c r="C2" s="182"/>
      <c r="D2" s="182"/>
      <c r="E2" s="182"/>
      <c r="F2" s="182"/>
      <c r="G2" s="184"/>
      <c r="H2" s="183"/>
    </row>
    <row r="3" spans="2:8" ht="18.75" x14ac:dyDescent="0.3">
      <c r="C3" s="97" t="s">
        <v>85</v>
      </c>
      <c r="D3" s="97" t="s">
        <v>33</v>
      </c>
      <c r="E3" s="97" t="s">
        <v>86</v>
      </c>
      <c r="F3" s="98" t="s">
        <v>87</v>
      </c>
    </row>
    <row r="4" spans="2:8" x14ac:dyDescent="0.25">
      <c r="C4" s="180">
        <f>+$C$8+$C$12+$C$16+$C$20+$C$24</f>
        <v>135812180151</v>
      </c>
      <c r="D4" s="180">
        <f>+$D$8+$D$12+$D$16+$D$20+$D$24</f>
        <v>113634002244.82001</v>
      </c>
      <c r="E4" s="180">
        <f>+$E$8+$E$12+$E$16+$E$20+$E$24</f>
        <v>16791941009.780001</v>
      </c>
      <c r="F4" s="179">
        <f>+D4/C4</f>
        <v>0.83669964003580799</v>
      </c>
    </row>
    <row r="5" spans="2:8" x14ac:dyDescent="0.25">
      <c r="C5" s="95"/>
      <c r="D5" s="95"/>
      <c r="E5" s="95"/>
      <c r="F5" s="95"/>
    </row>
    <row r="6" spans="2:8" ht="18.75" x14ac:dyDescent="0.25">
      <c r="C6" s="237" t="str">
        <f>+'ANALISIS POR PROG'!$B$6</f>
        <v>PROG 779</v>
      </c>
      <c r="D6" s="238"/>
      <c r="E6" s="238"/>
      <c r="F6" s="239"/>
      <c r="G6" s="94"/>
      <c r="H6" s="94"/>
    </row>
    <row r="7" spans="2:8" ht="18.75" x14ac:dyDescent="0.3">
      <c r="C7" s="97" t="s">
        <v>85</v>
      </c>
      <c r="D7" s="97" t="s">
        <v>33</v>
      </c>
      <c r="E7" s="97" t="s">
        <v>86</v>
      </c>
      <c r="F7" s="98" t="s">
        <v>87</v>
      </c>
    </row>
    <row r="8" spans="2:8" x14ac:dyDescent="0.25">
      <c r="B8">
        <v>214779</v>
      </c>
      <c r="C8" s="180">
        <f>SUMIF(SIGAF!$A$2:$A$501,$B8,SIGAF!$F$2:$F$501)</f>
        <v>2888329075</v>
      </c>
      <c r="D8" s="180">
        <f>SUMIF(SIGAF!$A$2:$A$501,$B8,SIGAF!$K$2:$K$501)</f>
        <v>2575937092.5999999</v>
      </c>
      <c r="E8" s="180">
        <f>SUMIF(SIGAF!$A$2:$A$501,$B8,SIGAF!$M$2:$M$501)</f>
        <v>280419111.82999998</v>
      </c>
      <c r="F8" s="144">
        <f>+D8/C8</f>
        <v>0.89184335500275358</v>
      </c>
    </row>
    <row r="9" spans="2:8" x14ac:dyDescent="0.25">
      <c r="C9" s="95"/>
      <c r="D9" s="95"/>
      <c r="E9" s="95"/>
      <c r="F9" s="95"/>
    </row>
    <row r="10" spans="2:8" ht="18.75" x14ac:dyDescent="0.25">
      <c r="C10" s="237" t="str">
        <f>+'ANALISIS POR PROG'!$B$7</f>
        <v>PROG 780</v>
      </c>
      <c r="D10" s="238"/>
      <c r="E10" s="238"/>
      <c r="F10" s="239"/>
    </row>
    <row r="11" spans="2:8" ht="18.75" x14ac:dyDescent="0.3">
      <c r="C11" s="97" t="s">
        <v>85</v>
      </c>
      <c r="D11" s="97" t="s">
        <v>33</v>
      </c>
      <c r="E11" s="97" t="s">
        <v>86</v>
      </c>
      <c r="F11" s="98" t="s">
        <v>87</v>
      </c>
    </row>
    <row r="12" spans="2:8" x14ac:dyDescent="0.25">
      <c r="B12">
        <v>214780</v>
      </c>
      <c r="C12" s="180">
        <f>SUMIF(SIGAF!$A$2:$A$501,$B12,SIGAF!$F$2:$F$501)</f>
        <v>1180395176</v>
      </c>
      <c r="D12" s="180">
        <f>SUMIF(SIGAF!$A$2:$A$501,$B12,SIGAF!$K$2:$K$501)</f>
        <v>1011673186.97</v>
      </c>
      <c r="E12" s="180">
        <f>SUMIF(SIGAF!$A$2:$A$501,$B12,SIGAF!$M$2:$M$501)</f>
        <v>156455138.53</v>
      </c>
      <c r="F12" s="144">
        <f>+D12/C12</f>
        <v>0.85706313236407194</v>
      </c>
    </row>
    <row r="13" spans="2:8" x14ac:dyDescent="0.25">
      <c r="C13" s="96"/>
      <c r="D13" s="96"/>
      <c r="E13" s="96"/>
      <c r="F13" s="96"/>
    </row>
    <row r="14" spans="2:8" ht="18.75" x14ac:dyDescent="0.25">
      <c r="C14" s="237" t="str">
        <f>+'ANALISIS POR PROG'!$B$8</f>
        <v>PROG 781</v>
      </c>
      <c r="D14" s="238"/>
      <c r="E14" s="238"/>
      <c r="F14" s="239"/>
    </row>
    <row r="15" spans="2:8" ht="18.75" x14ac:dyDescent="0.3">
      <c r="C15" s="97" t="s">
        <v>85</v>
      </c>
      <c r="D15" s="97" t="s">
        <v>33</v>
      </c>
      <c r="E15" s="97" t="s">
        <v>86</v>
      </c>
      <c r="F15" s="98" t="s">
        <v>87</v>
      </c>
    </row>
    <row r="16" spans="2:8" x14ac:dyDescent="0.25">
      <c r="B16">
        <v>214781</v>
      </c>
      <c r="C16" s="180">
        <f>SUMIF(SIGAF!$A$2:$A$501,$B16,SIGAF!$F$2:$F$501)</f>
        <v>10084688285</v>
      </c>
      <c r="D16" s="180">
        <f>SUMIF(SIGAF!$A$2:$A$501,$B16,SIGAF!$K$2:$K$501)</f>
        <v>8731089979.3500004</v>
      </c>
      <c r="E16" s="180">
        <f>SUMIF(SIGAF!$A$2:$A$501,$B16,SIGAF!$M$2:$M$501)</f>
        <v>1210506037.99</v>
      </c>
      <c r="F16" s="144">
        <f>+D16/C16</f>
        <v>0.86577688200205982</v>
      </c>
    </row>
    <row r="17" spans="2:6" x14ac:dyDescent="0.25">
      <c r="C17" s="96"/>
      <c r="D17" s="96"/>
      <c r="E17" s="96"/>
      <c r="F17" s="96"/>
    </row>
    <row r="18" spans="2:6" ht="18.75" x14ac:dyDescent="0.25">
      <c r="C18" s="237" t="str">
        <f>+'ANALISIS POR PROG'!$B$9</f>
        <v>PROG 783</v>
      </c>
      <c r="D18" s="238"/>
      <c r="E18" s="238"/>
      <c r="F18" s="239"/>
    </row>
    <row r="19" spans="2:6" ht="18.75" x14ac:dyDescent="0.3">
      <c r="C19" s="97" t="s">
        <v>85</v>
      </c>
      <c r="D19" s="97" t="s">
        <v>33</v>
      </c>
      <c r="E19" s="97" t="s">
        <v>86</v>
      </c>
      <c r="F19" s="98" t="s">
        <v>87</v>
      </c>
    </row>
    <row r="20" spans="2:6" x14ac:dyDescent="0.25">
      <c r="B20">
        <v>214783</v>
      </c>
      <c r="C20" s="180">
        <f>SUMIF(SIGAF!$A$2:$A$501,$B20,SIGAF!$F$2:$F$501)</f>
        <v>108178679615</v>
      </c>
      <c r="D20" s="180">
        <f>SUMIF(SIGAF!$A$2:$A$501,$B20,SIGAF!$K$2:$K$501)</f>
        <v>88838863182.520004</v>
      </c>
      <c r="E20" s="180">
        <f>SUMIF(SIGAF!$A$2:$A$501,$B20,SIGAF!$M$2:$M$501)</f>
        <v>14153879894.26</v>
      </c>
      <c r="F20" s="144">
        <f>+D20/C20</f>
        <v>0.82122340093899293</v>
      </c>
    </row>
    <row r="21" spans="2:6" x14ac:dyDescent="0.25">
      <c r="C21" s="96"/>
      <c r="D21" s="96"/>
      <c r="E21" s="96"/>
      <c r="F21" s="96"/>
    </row>
    <row r="22" spans="2:6" ht="18.75" x14ac:dyDescent="0.25">
      <c r="C22" s="237" t="str">
        <f>+'ANALISIS POR PROG'!$B$10</f>
        <v>PROG 784</v>
      </c>
      <c r="D22" s="238"/>
      <c r="E22" s="238"/>
      <c r="F22" s="239"/>
    </row>
    <row r="23" spans="2:6" ht="18.75" x14ac:dyDescent="0.3">
      <c r="C23" s="97" t="s">
        <v>85</v>
      </c>
      <c r="D23" s="97" t="s">
        <v>33</v>
      </c>
      <c r="E23" s="97" t="s">
        <v>86</v>
      </c>
      <c r="F23" s="98" t="s">
        <v>87</v>
      </c>
    </row>
    <row r="24" spans="2:6" x14ac:dyDescent="0.25">
      <c r="B24">
        <v>214784</v>
      </c>
      <c r="C24" s="180">
        <f>SUMIF(SIGAF!$A$2:$A$508,$B24,SIGAF!$F$2:$F$508)</f>
        <v>13480088000</v>
      </c>
      <c r="D24" s="180">
        <f>SUMIF(SIGAF!$A$2:$A$508,$B24,SIGAF!$K$2:$K$508)</f>
        <v>12476438803.379999</v>
      </c>
      <c r="E24" s="180">
        <f>SUMIF(SIGAF!$A$2:$A$508,$B24,SIGAF!$M$2:$M$508)</f>
        <v>990680827.16999996</v>
      </c>
      <c r="F24" s="144">
        <f>+D24/C24</f>
        <v>0.92554579787461322</v>
      </c>
    </row>
    <row r="25" spans="2:6" x14ac:dyDescent="0.25">
      <c r="C25" s="96"/>
      <c r="D25" s="96"/>
      <c r="E25" s="96"/>
      <c r="F25" s="96"/>
    </row>
    <row r="26" spans="2:6" x14ac:dyDescent="0.25">
      <c r="C26" s="25">
        <f>+C4-SIGAF!F2</f>
        <v>0</v>
      </c>
      <c r="D26" s="25">
        <f>+D4-SIGAF!K2</f>
        <v>0</v>
      </c>
      <c r="E26" s="25"/>
      <c r="F26" s="25"/>
    </row>
  </sheetData>
  <mergeCells count="6">
    <mergeCell ref="C22:F22"/>
    <mergeCell ref="C1:F1"/>
    <mergeCell ref="C6:F6"/>
    <mergeCell ref="C10:F10"/>
    <mergeCell ref="C14:F14"/>
    <mergeCell ref="C18:F18"/>
  </mergeCells>
  <pageMargins left="0.7" right="0.7" top="0.75" bottom="0.75" header="0.3" footer="0.3"/>
  <pageSetup orientation="portrait" verticalDpi="599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sqref="A1:A2"/>
    </sheetView>
  </sheetViews>
  <sheetFormatPr baseColWidth="10" defaultRowHeight="15" x14ac:dyDescent="0.25"/>
  <cols>
    <col min="2" max="2" width="17.42578125" bestFit="1" customWidth="1"/>
    <col min="3" max="3" width="7.140625" bestFit="1" customWidth="1"/>
    <col min="4" max="4" width="17.42578125" bestFit="1" customWidth="1"/>
    <col min="5" max="5" width="7.140625" bestFit="1" customWidth="1"/>
  </cols>
  <sheetData>
    <row r="1" spans="1:8" x14ac:dyDescent="0.25">
      <c r="A1" s="243" t="s">
        <v>71</v>
      </c>
      <c r="B1" s="230">
        <v>2017</v>
      </c>
      <c r="C1" s="245"/>
      <c r="D1" s="230">
        <v>2016</v>
      </c>
      <c r="E1" s="245"/>
    </row>
    <row r="2" spans="1:8" x14ac:dyDescent="0.25">
      <c r="A2" s="244"/>
      <c r="B2" s="62" t="s">
        <v>60</v>
      </c>
      <c r="C2" s="62" t="s">
        <v>72</v>
      </c>
      <c r="D2" s="62" t="s">
        <v>60</v>
      </c>
      <c r="E2" s="62" t="s">
        <v>72</v>
      </c>
      <c r="G2" s="94">
        <f>+B1</f>
        <v>2017</v>
      </c>
      <c r="H2" s="94">
        <f>+D1</f>
        <v>2016</v>
      </c>
    </row>
    <row r="3" spans="1:8" x14ac:dyDescent="0.25">
      <c r="A3" s="80" t="s">
        <v>75</v>
      </c>
      <c r="B3" s="75">
        <f>+'ANALISIS POR PROG'!C6</f>
        <v>2888329075</v>
      </c>
      <c r="C3" s="138">
        <f>+B3/B8</f>
        <v>2.1267084231978827E-2</v>
      </c>
      <c r="D3" s="75">
        <v>2775642622</v>
      </c>
      <c r="E3" s="138">
        <f>+D3/$D$8</f>
        <v>2.3705302840448514E-2</v>
      </c>
    </row>
    <row r="4" spans="1:8" x14ac:dyDescent="0.25">
      <c r="A4" s="80" t="s">
        <v>76</v>
      </c>
      <c r="B4" s="75">
        <f>+'ANALISIS POR PROG'!C7</f>
        <v>1180395176</v>
      </c>
      <c r="C4" s="138">
        <f>+'ANALISIS POR PROG'!D7</f>
        <v>8.6913793349580413E-3</v>
      </c>
      <c r="D4" s="75">
        <v>874784347</v>
      </c>
      <c r="E4" s="138">
        <f t="shared" ref="E4:E7" si="0">+D4/$D$8</f>
        <v>7.4710727171269807E-3</v>
      </c>
    </row>
    <row r="5" spans="1:8" x14ac:dyDescent="0.25">
      <c r="A5" s="80" t="s">
        <v>77</v>
      </c>
      <c r="B5" s="75">
        <f>+'ANALISIS POR PROG'!C8</f>
        <v>10084688285</v>
      </c>
      <c r="C5" s="138">
        <f>+'ANALISIS POR PROG'!D8</f>
        <v>7.4254667540036137E-2</v>
      </c>
      <c r="D5" s="75">
        <v>9124165928</v>
      </c>
      <c r="E5" s="138">
        <f t="shared" si="0"/>
        <v>7.7924699230152522E-2</v>
      </c>
    </row>
    <row r="6" spans="1:8" x14ac:dyDescent="0.25">
      <c r="A6" s="80" t="s">
        <v>78</v>
      </c>
      <c r="B6" s="75">
        <f>+'ANALISIS POR PROG'!C9</f>
        <v>108178679615</v>
      </c>
      <c r="C6" s="138">
        <f>+'ANALISIS POR PROG'!D9</f>
        <v>0.79653150030228326</v>
      </c>
      <c r="D6" s="75">
        <v>91129126515</v>
      </c>
      <c r="E6" s="138">
        <f t="shared" si="0"/>
        <v>0.77828590918057372</v>
      </c>
    </row>
    <row r="7" spans="1:8" x14ac:dyDescent="0.25">
      <c r="A7" s="80" t="s">
        <v>79</v>
      </c>
      <c r="B7" s="75">
        <f>+'ANALISIS POR PROG'!C10</f>
        <v>13480088000</v>
      </c>
      <c r="C7" s="138">
        <f>+'ANALISIS POR PROG'!D10</f>
        <v>9.925536859074377E-2</v>
      </c>
      <c r="D7" s="75">
        <v>13185804425</v>
      </c>
      <c r="E7" s="138">
        <f t="shared" si="0"/>
        <v>0.11261301603169829</v>
      </c>
    </row>
    <row r="8" spans="1:8" x14ac:dyDescent="0.25">
      <c r="A8" s="55" t="s">
        <v>15</v>
      </c>
      <c r="B8" s="56">
        <f>SUM(B3:B7)</f>
        <v>135812180151</v>
      </c>
      <c r="C8" s="57"/>
      <c r="D8" s="56">
        <f>SUM(D3:D7)</f>
        <v>117089523837</v>
      </c>
      <c r="E8" s="57"/>
    </row>
    <row r="42" spans="1:5" x14ac:dyDescent="0.25">
      <c r="A42" s="243" t="s">
        <v>71</v>
      </c>
      <c r="B42" s="230">
        <v>2017</v>
      </c>
      <c r="C42" s="245"/>
      <c r="D42" s="230">
        <v>2016</v>
      </c>
      <c r="E42" s="245"/>
    </row>
    <row r="43" spans="1:5" x14ac:dyDescent="0.25">
      <c r="A43" s="244"/>
      <c r="B43" s="62" t="s">
        <v>625</v>
      </c>
      <c r="C43" s="62" t="s">
        <v>72</v>
      </c>
      <c r="D43" s="62" t="s">
        <v>625</v>
      </c>
      <c r="E43" s="62" t="s">
        <v>72</v>
      </c>
    </row>
    <row r="44" spans="1:5" x14ac:dyDescent="0.25">
      <c r="A44" s="80" t="s">
        <v>75</v>
      </c>
      <c r="B44" s="75">
        <f>+'ANALISIS POR PROG'!L6</f>
        <v>2575937092.5999999</v>
      </c>
      <c r="C44" s="138">
        <f>+'ANALISIS POR PROG'!M6</f>
        <v>0.89184335500275358</v>
      </c>
      <c r="D44" s="75">
        <v>2457181742.7800002</v>
      </c>
      <c r="E44" s="138">
        <f>+D44/D3</f>
        <v>0.88526589241141873</v>
      </c>
    </row>
    <row r="45" spans="1:5" x14ac:dyDescent="0.25">
      <c r="A45" s="80" t="s">
        <v>76</v>
      </c>
      <c r="B45" s="75">
        <f>+'ANALISIS POR PROG'!L7</f>
        <v>1011673186.97</v>
      </c>
      <c r="C45" s="138">
        <f>+'ANALISIS POR PROG'!M7</f>
        <v>0.85706313236407194</v>
      </c>
      <c r="D45" s="75">
        <v>786800693.20000005</v>
      </c>
      <c r="E45" s="138">
        <f>+D45/D4</f>
        <v>0.89942246440310392</v>
      </c>
    </row>
    <row r="46" spans="1:5" x14ac:dyDescent="0.25">
      <c r="A46" s="80" t="s">
        <v>77</v>
      </c>
      <c r="B46" s="75">
        <f>+'ANALISIS POR PROG'!L8</f>
        <v>8731089979.3500004</v>
      </c>
      <c r="C46" s="138">
        <f>+'ANALISIS POR PROG'!M8</f>
        <v>0.86577688200205982</v>
      </c>
      <c r="D46" s="75">
        <v>8639388473.7000008</v>
      </c>
      <c r="E46" s="138">
        <f>+D46/D5</f>
        <v>0.94686884717732644</v>
      </c>
    </row>
    <row r="47" spans="1:5" x14ac:dyDescent="0.25">
      <c r="A47" s="80" t="s">
        <v>78</v>
      </c>
      <c r="B47" s="75">
        <f>+'ANALISIS POR PROG'!L9</f>
        <v>88838863182.520004</v>
      </c>
      <c r="C47" s="138">
        <f>+'ANALISIS POR PROG'!M9</f>
        <v>0.82122340093899293</v>
      </c>
      <c r="D47" s="75">
        <v>85963389837.949997</v>
      </c>
      <c r="E47" s="138">
        <f>+D47/D6</f>
        <v>0.94331409863563531</v>
      </c>
    </row>
    <row r="48" spans="1:5" x14ac:dyDescent="0.25">
      <c r="A48" s="80" t="s">
        <v>79</v>
      </c>
      <c r="B48" s="75">
        <f>+'ANALISIS POR PROG'!L10</f>
        <v>12476438803.379999</v>
      </c>
      <c r="C48" s="138">
        <f>+'ANALISIS POR PROG'!M10</f>
        <v>0.92554579787461322</v>
      </c>
      <c r="D48" s="75">
        <v>12084620526.450001</v>
      </c>
      <c r="E48" s="138">
        <f>+D48/D7</f>
        <v>0.91648716581430723</v>
      </c>
    </row>
    <row r="49" spans="1:5" x14ac:dyDescent="0.25">
      <c r="A49" s="55" t="s">
        <v>15</v>
      </c>
      <c r="B49" s="56">
        <f>SUM(B44:B48)</f>
        <v>113634002244.82001</v>
      </c>
      <c r="C49" s="57">
        <f>+'ANALISIS POR PROG'!M11</f>
        <v>0.83669964003580799</v>
      </c>
      <c r="D49" s="56">
        <f>SUM(D44:D48)</f>
        <v>109931381274.08</v>
      </c>
      <c r="E49" s="57">
        <v>0.72311963573264304</v>
      </c>
    </row>
  </sheetData>
  <mergeCells count="6">
    <mergeCell ref="A1:A2"/>
    <mergeCell ref="B1:C1"/>
    <mergeCell ref="D1:E1"/>
    <mergeCell ref="A42:A43"/>
    <mergeCell ref="B42:C42"/>
    <mergeCell ref="D42:E4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13" sqref="A13"/>
    </sheetView>
  </sheetViews>
  <sheetFormatPr baseColWidth="10" defaultRowHeight="15" x14ac:dyDescent="0.25"/>
  <cols>
    <col min="1" max="1" width="37.85546875" bestFit="1" customWidth="1"/>
    <col min="2" max="2" width="20.42578125" bestFit="1" customWidth="1"/>
    <col min="3" max="3" width="22.85546875" bestFit="1" customWidth="1"/>
    <col min="4" max="4" width="30.28515625" bestFit="1" customWidth="1"/>
    <col min="5" max="5" width="18.28515625" bestFit="1" customWidth="1"/>
    <col min="6" max="6" width="14.42578125" customWidth="1"/>
  </cols>
  <sheetData>
    <row r="1" spans="1:6" ht="18" thickBot="1" x14ac:dyDescent="0.3">
      <c r="A1" s="246" t="s">
        <v>44</v>
      </c>
      <c r="B1" s="247"/>
      <c r="C1" s="247"/>
      <c r="D1" s="247"/>
      <c r="E1" s="247"/>
      <c r="F1" s="248"/>
    </row>
    <row r="2" spans="1:6" ht="15.75" thickBot="1" x14ac:dyDescent="0.3"/>
    <row r="3" spans="1:6" ht="33.75" customHeight="1" x14ac:dyDescent="0.25">
      <c r="A3" s="29" t="s">
        <v>0</v>
      </c>
      <c r="B3" s="7" t="s">
        <v>45</v>
      </c>
      <c r="C3" s="7" t="s">
        <v>54</v>
      </c>
      <c r="D3" s="7" t="s">
        <v>46</v>
      </c>
      <c r="E3" s="7" t="s">
        <v>47</v>
      </c>
      <c r="F3" s="30" t="s">
        <v>8</v>
      </c>
    </row>
    <row r="4" spans="1:6" ht="16.5" x14ac:dyDescent="0.25">
      <c r="A4" s="8" t="s">
        <v>9</v>
      </c>
      <c r="B4" s="16" t="e">
        <f>+#REF!</f>
        <v>#REF!</v>
      </c>
      <c r="C4" s="16" t="e">
        <f>+#REF!</f>
        <v>#REF!</v>
      </c>
      <c r="D4" s="16">
        <f>26829389123.4-3461184089.09</f>
        <v>23368205034.310001</v>
      </c>
      <c r="E4" s="16" t="e">
        <f>+C4-D4</f>
        <v>#REF!</v>
      </c>
      <c r="F4" s="31" t="e">
        <f>+E4/B4</f>
        <v>#REF!</v>
      </c>
    </row>
    <row r="5" spans="1:6" ht="16.5" x14ac:dyDescent="0.25">
      <c r="A5" s="8" t="s">
        <v>10</v>
      </c>
      <c r="B5" s="16" t="e">
        <f>+#REF!</f>
        <v>#REF!</v>
      </c>
      <c r="C5" s="16" t="e">
        <f>+#REF!</f>
        <v>#REF!</v>
      </c>
      <c r="D5" s="16">
        <f>1520802352.53-507409539.12+4542543.01</f>
        <v>1017935356.42</v>
      </c>
      <c r="E5" s="16" t="e">
        <f t="shared" ref="E5:E9" si="0">+C5-D5</f>
        <v>#REF!</v>
      </c>
      <c r="F5" s="31" t="e">
        <f t="shared" ref="F5:F10" si="1">+E5/B5</f>
        <v>#REF!</v>
      </c>
    </row>
    <row r="6" spans="1:6" ht="16.5" x14ac:dyDescent="0.25">
      <c r="A6" s="8" t="s">
        <v>11</v>
      </c>
      <c r="B6" s="16" t="e">
        <f>+#REF!</f>
        <v>#REF!</v>
      </c>
      <c r="C6" s="16" t="e">
        <f>+#REF!</f>
        <v>#REF!</v>
      </c>
      <c r="D6" s="16">
        <f>3114532393.51-1046587510.82</f>
        <v>2067944882.6900001</v>
      </c>
      <c r="E6" s="16" t="e">
        <f t="shared" si="0"/>
        <v>#REF!</v>
      </c>
      <c r="F6" s="31" t="e">
        <f t="shared" si="1"/>
        <v>#REF!</v>
      </c>
    </row>
    <row r="7" spans="1:6" ht="16.5" x14ac:dyDescent="0.25">
      <c r="A7" s="8" t="s">
        <v>12</v>
      </c>
      <c r="B7" s="16" t="e">
        <f>+#REF!</f>
        <v>#REF!</v>
      </c>
      <c r="C7" s="16" t="e">
        <f>+#REF!</f>
        <v>#REF!</v>
      </c>
      <c r="D7" s="16">
        <f>381303517.72-155353964</f>
        <v>225949553.72000003</v>
      </c>
      <c r="E7" s="16" t="e">
        <f t="shared" si="0"/>
        <v>#REF!</v>
      </c>
      <c r="F7" s="31" t="e">
        <f t="shared" si="1"/>
        <v>#REF!</v>
      </c>
    </row>
    <row r="8" spans="1:6" ht="16.5" x14ac:dyDescent="0.25">
      <c r="A8" s="8" t="s">
        <v>13</v>
      </c>
      <c r="B8" s="16" t="e">
        <f>+#REF!</f>
        <v>#REF!</v>
      </c>
      <c r="C8" s="16" t="e">
        <f>+#REF!</f>
        <v>#REF!</v>
      </c>
      <c r="D8" s="16">
        <v>970391201.72000003</v>
      </c>
      <c r="E8" s="16" t="e">
        <f t="shared" si="0"/>
        <v>#REF!</v>
      </c>
      <c r="F8" s="31" t="e">
        <f t="shared" si="1"/>
        <v>#REF!</v>
      </c>
    </row>
    <row r="9" spans="1:6" ht="16.5" x14ac:dyDescent="0.25">
      <c r="A9" s="8" t="s">
        <v>14</v>
      </c>
      <c r="B9" s="16" t="e">
        <f>+#REF!</f>
        <v>#REF!</v>
      </c>
      <c r="C9" s="16" t="e">
        <f>+#REF!</f>
        <v>#REF!</v>
      </c>
      <c r="D9" s="16">
        <v>9346324000</v>
      </c>
      <c r="E9" s="16" t="e">
        <f t="shared" si="0"/>
        <v>#REF!</v>
      </c>
      <c r="F9" s="31" t="e">
        <f t="shared" si="1"/>
        <v>#REF!</v>
      </c>
    </row>
    <row r="10" spans="1:6" ht="18" thickBot="1" x14ac:dyDescent="0.3">
      <c r="A10" s="9" t="s">
        <v>15</v>
      </c>
      <c r="B10" s="15" t="e">
        <f>SUM(B4:B9)</f>
        <v>#REF!</v>
      </c>
      <c r="C10" s="15" t="e">
        <f t="shared" ref="C10:E10" si="2">SUM(C4:C9)</f>
        <v>#REF!</v>
      </c>
      <c r="D10" s="15">
        <f t="shared" si="2"/>
        <v>36996750028.860001</v>
      </c>
      <c r="E10" s="15" t="e">
        <f t="shared" si="2"/>
        <v>#REF!</v>
      </c>
      <c r="F10" s="32" t="e">
        <f t="shared" si="1"/>
        <v>#REF!</v>
      </c>
    </row>
    <row r="12" spans="1:6" ht="15" customHeight="1" x14ac:dyDescent="0.25"/>
    <row r="15" spans="1:6" ht="18" thickBot="1" x14ac:dyDescent="0.3">
      <c r="A15" s="246" t="s">
        <v>48</v>
      </c>
      <c r="B15" s="247"/>
      <c r="C15" s="247"/>
      <c r="D15" s="247"/>
      <c r="E15" s="247"/>
      <c r="F15" s="248"/>
    </row>
    <row r="16" spans="1:6" ht="15.75" thickBot="1" x14ac:dyDescent="0.3">
      <c r="C16" s="25"/>
      <c r="D16" s="25"/>
      <c r="E16" s="25"/>
    </row>
    <row r="17" spans="1:6" ht="34.5" x14ac:dyDescent="0.25">
      <c r="A17" s="29" t="s">
        <v>56</v>
      </c>
      <c r="B17" s="7" t="s">
        <v>45</v>
      </c>
      <c r="C17" s="7" t="s">
        <v>54</v>
      </c>
      <c r="D17" s="7" t="s">
        <v>46</v>
      </c>
      <c r="E17" s="7" t="s">
        <v>47</v>
      </c>
      <c r="F17" s="30" t="s">
        <v>8</v>
      </c>
    </row>
    <row r="18" spans="1:6" x14ac:dyDescent="0.25">
      <c r="A18" s="26" t="s">
        <v>49</v>
      </c>
      <c r="B18" s="27">
        <f>+[8]proyeccion!$B$10</f>
        <v>3104857000</v>
      </c>
      <c r="C18" s="27">
        <f>+[8]proyeccion!$C$10</f>
        <v>1064850521.0999999</v>
      </c>
      <c r="D18" s="27">
        <f>+[8]proyeccion!$D$10</f>
        <v>817913281.75999999</v>
      </c>
      <c r="E18" s="27">
        <f>+C18-D18</f>
        <v>246937239.33999991</v>
      </c>
      <c r="F18" s="28">
        <f>+E18/B18</f>
        <v>7.953256441117898E-2</v>
      </c>
    </row>
    <row r="19" spans="1:6" x14ac:dyDescent="0.25">
      <c r="A19" s="26" t="s">
        <v>50</v>
      </c>
      <c r="B19" s="27">
        <f>+[9]Proyeccion!$B$10</f>
        <v>886495000</v>
      </c>
      <c r="C19" s="27">
        <f>+[9]Proyeccion!$C$10</f>
        <v>344496181.24000001</v>
      </c>
      <c r="D19" s="27">
        <f>+[9]Proyeccion!$D$10</f>
        <v>196164904.31</v>
      </c>
      <c r="E19" s="27">
        <f t="shared" ref="E19:E21" si="3">+C19-D19</f>
        <v>148331276.93000001</v>
      </c>
      <c r="F19" s="28">
        <f t="shared" ref="F19:F22" si="4">+E19/B19</f>
        <v>0.16732330913315924</v>
      </c>
    </row>
    <row r="20" spans="1:6" x14ac:dyDescent="0.25">
      <c r="A20" s="26" t="s">
        <v>51</v>
      </c>
      <c r="B20" s="27">
        <f>+[10]proyecion!B$10</f>
        <v>9259897000</v>
      </c>
      <c r="C20" s="27">
        <f>+[10]proyecion!C$10</f>
        <v>2809082347.3700004</v>
      </c>
      <c r="D20" s="27">
        <f>+[10]proyecion!D$10</f>
        <v>2552094589.6900001</v>
      </c>
      <c r="E20" s="27">
        <f t="shared" si="3"/>
        <v>256987757.68000031</v>
      </c>
      <c r="F20" s="28">
        <f t="shared" si="4"/>
        <v>2.7752766329906295E-2</v>
      </c>
    </row>
    <row r="21" spans="1:6" x14ac:dyDescent="0.25">
      <c r="A21" s="26" t="s">
        <v>52</v>
      </c>
      <c r="B21" s="27">
        <f>+[11]proyeccion!B$10</f>
        <v>152948794714.44</v>
      </c>
      <c r="C21" s="27">
        <f>+[11]proyeccion!C$10</f>
        <v>69213232409.300003</v>
      </c>
      <c r="D21" s="27">
        <f>+[11]proyeccion!D$10</f>
        <v>29520016193.59</v>
      </c>
      <c r="E21" s="27">
        <f t="shared" si="3"/>
        <v>39693216215.710007</v>
      </c>
      <c r="F21" s="28">
        <f t="shared" si="4"/>
        <v>0.25951964047718346</v>
      </c>
    </row>
    <row r="22" spans="1:6" x14ac:dyDescent="0.25">
      <c r="A22" s="26" t="s">
        <v>53</v>
      </c>
      <c r="B22" s="27">
        <f>+[12]proyeccion!B$10</f>
        <v>13799039000</v>
      </c>
      <c r="C22" s="27">
        <f>+[12]proyeccion!C$10</f>
        <v>4783423549.5699997</v>
      </c>
      <c r="D22" s="27">
        <f>+[12]proyeccion!D$10</f>
        <v>3910561059.5099998</v>
      </c>
      <c r="E22" s="27">
        <f>+[12]proyeccion!E$10</f>
        <v>872862490.06000042</v>
      </c>
      <c r="F22" s="28">
        <f t="shared" si="4"/>
        <v>6.3255310029923129E-2</v>
      </c>
    </row>
    <row r="23" spans="1:6" ht="18" thickBot="1" x14ac:dyDescent="0.3">
      <c r="A23" s="9" t="s">
        <v>15</v>
      </c>
      <c r="B23" s="15">
        <f>SUM(B18:B22)</f>
        <v>179999082714.44</v>
      </c>
      <c r="C23" s="15">
        <f>SUM(C18:C22)</f>
        <v>78215085008.580017</v>
      </c>
      <c r="D23" s="15">
        <f t="shared" ref="D23:E23" si="5">SUM(D18:D22)</f>
        <v>36996750028.860001</v>
      </c>
      <c r="E23" s="15">
        <f t="shared" si="5"/>
        <v>41218334979.720001</v>
      </c>
      <c r="F23" s="19">
        <f>+E23/B23</f>
        <v>0.22899191683721484</v>
      </c>
    </row>
    <row r="25" spans="1:6" x14ac:dyDescent="0.25">
      <c r="E25" s="33" t="e">
        <f>+E23-E10</f>
        <v>#REF!</v>
      </c>
    </row>
  </sheetData>
  <mergeCells count="2">
    <mergeCell ref="A15:F15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Estado</vt:lpstr>
      <vt:lpstr>Resumen Estado</vt:lpstr>
      <vt:lpstr>SIGAF</vt:lpstr>
      <vt:lpstr>Hoja4</vt:lpstr>
      <vt:lpstr>Resumen por Partida</vt:lpstr>
      <vt:lpstr>COMPORT. RESUMEN</vt:lpstr>
      <vt:lpstr>MENSUAL</vt:lpstr>
      <vt:lpstr>ANALISIS POR PROG</vt:lpstr>
      <vt:lpstr>Ejecucion por Programa</vt:lpstr>
      <vt:lpstr>RESUMEN</vt:lpstr>
      <vt:lpstr>COMPARATIVO</vt:lpstr>
      <vt:lpstr>proyeccion</vt:lpstr>
      <vt:lpstr>'ANALISIS POR PROG'!Área_de_impresión</vt:lpstr>
      <vt:lpstr>Estado!Área_de_impresión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Arroyo Hernadez</dc:creator>
  <cp:lastModifiedBy>Manuel Camacho Garita</cp:lastModifiedBy>
  <cp:lastPrinted>2017-08-16T14:32:13Z</cp:lastPrinted>
  <dcterms:created xsi:type="dcterms:W3CDTF">2015-09-07T19:14:27Z</dcterms:created>
  <dcterms:modified xsi:type="dcterms:W3CDTF">2018-04-05T19:57:12Z</dcterms:modified>
</cp:coreProperties>
</file>